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696" windowHeight="6888" tabRatio="312" activeTab="0"/>
  </bookViews>
  <sheets>
    <sheet name="Tav 7.1" sheetId="1" r:id="rId1"/>
    <sheet name="Tav 7.2" sheetId="2" r:id="rId2"/>
    <sheet name="Tav 7.3" sheetId="3" r:id="rId3"/>
    <sheet name="Tav 7.4" sheetId="4" r:id="rId4"/>
    <sheet name="Tav 7.5" sheetId="5" r:id="rId5"/>
    <sheet name="Tav 7.6" sheetId="6" r:id="rId6"/>
    <sheet name="Tav 7.7" sheetId="7" r:id="rId7"/>
    <sheet name="Tav 7.8" sheetId="8" r:id="rId8"/>
    <sheet name="Tav 7.9" sheetId="9" r:id="rId9"/>
    <sheet name="Tav 7.10" sheetId="10" r:id="rId10"/>
    <sheet name="Tav 7.11" sheetId="11" r:id="rId11"/>
    <sheet name="Tav 7.12" sheetId="12" r:id="rId12"/>
    <sheet name="Tav7.13" sheetId="13" r:id="rId13"/>
    <sheet name="Tav 7.14" sheetId="14" r:id="rId14"/>
    <sheet name="Tav 7.15" sheetId="15" r:id="rId15"/>
  </sheets>
  <definedNames>
    <definedName name="_xlnm.Print_Area" localSheetId="0">'Tav 7.1'!$A$1:$H$39</definedName>
    <definedName name="_xlnm.Print_Area" localSheetId="13">'Tav 7.14'!$A$1:$F$50</definedName>
    <definedName name="_xlnm.Print_Area" localSheetId="14">'Tav 7.15'!$A$1:$G$61</definedName>
    <definedName name="_xlnm.Print_Area" localSheetId="1">'Tav 7.2'!$A$1:$I$57</definedName>
    <definedName name="_xlnm.Print_Area" localSheetId="2">'Tav 7.3'!$A$1:$K$55</definedName>
    <definedName name="_xlnm.Print_Area" localSheetId="3">'Tav 7.4'!$A$1:$I$61</definedName>
    <definedName name="_xlnm.Print_Area" localSheetId="4">'Tav 7.5'!$A$1:$I$39</definedName>
    <definedName name="_xlnm.Print_Area" localSheetId="7">'Tav 7.8'!$A$1:$K$62</definedName>
    <definedName name="_xlnm.Print_Area" localSheetId="8">'Tav 7.9'!$A$1:$K$61</definedName>
    <definedName name="Query2">#REF!</definedName>
  </definedNames>
  <calcPr fullCalcOnLoad="1"/>
</workbook>
</file>

<file path=xl/sharedStrings.xml><?xml version="1.0" encoding="utf-8"?>
<sst xmlns="http://schemas.openxmlformats.org/spreadsheetml/2006/main" count="1472" uniqueCount="712">
  <si>
    <t>Totale</t>
  </si>
  <si>
    <t>-</t>
  </si>
  <si>
    <t xml:space="preserve"> </t>
  </si>
  <si>
    <t>Aeronautica Sportiva</t>
  </si>
  <si>
    <t>Atletica Leggera</t>
  </si>
  <si>
    <t>Automobilismo Sportivo</t>
  </si>
  <si>
    <t>Baseball - Softball</t>
  </si>
  <si>
    <t>Bocce</t>
  </si>
  <si>
    <t>Caccia</t>
  </si>
  <si>
    <t>Calcio</t>
  </si>
  <si>
    <t>Canoa - Kayak</t>
  </si>
  <si>
    <t>Canottaggio</t>
  </si>
  <si>
    <t>Ciclismo</t>
  </si>
  <si>
    <t>Cronometraggio Sportivo</t>
  </si>
  <si>
    <t>Ginnastica</t>
  </si>
  <si>
    <t>Golf</t>
  </si>
  <si>
    <t>Handball/Pallamano</t>
  </si>
  <si>
    <t>Hockey (prato/indoor)</t>
  </si>
  <si>
    <t>Hockey e Pattinaggio a rotelle</t>
  </si>
  <si>
    <t>Lotta - Pesi - Judo - Karate</t>
  </si>
  <si>
    <t>Medicina Sportiva</t>
  </si>
  <si>
    <t>Motociclismo</t>
  </si>
  <si>
    <t>Motonautica</t>
  </si>
  <si>
    <t>Nuoto</t>
  </si>
  <si>
    <t>Pallacanestro</t>
  </si>
  <si>
    <t>Pallavolo</t>
  </si>
  <si>
    <t>Pentathlon Moderno</t>
  </si>
  <si>
    <t>Pugilato</t>
  </si>
  <si>
    <t>Rugby</t>
  </si>
  <si>
    <t>Scherma</t>
  </si>
  <si>
    <t>Sci Nautico</t>
  </si>
  <si>
    <t>Sport Disabili</t>
  </si>
  <si>
    <t>Sport Equestri</t>
  </si>
  <si>
    <t>Sport Ghiaccio</t>
  </si>
  <si>
    <t>Sport Invernali</t>
  </si>
  <si>
    <t>Tennis</t>
  </si>
  <si>
    <t>Tennistavolo</t>
  </si>
  <si>
    <t>Tiro con l'Arco</t>
  </si>
  <si>
    <t>Tiro a Segno</t>
  </si>
  <si>
    <t>Tiro a Volo</t>
  </si>
  <si>
    <t>Vela</t>
  </si>
  <si>
    <t>SPORT</t>
  </si>
  <si>
    <t>FEDERAZIONE</t>
  </si>
  <si>
    <t>Dirigenti</t>
  </si>
  <si>
    <t>Tecnici</t>
  </si>
  <si>
    <t>Ufficiali</t>
  </si>
  <si>
    <t xml:space="preserve">AeCI   </t>
  </si>
  <si>
    <t>Aero Club d'Italia</t>
  </si>
  <si>
    <t xml:space="preserve">FIDAL    </t>
  </si>
  <si>
    <t xml:space="preserve">ACI </t>
  </si>
  <si>
    <t>Automobil Club d'Italia</t>
  </si>
  <si>
    <t xml:space="preserve">FIBS  </t>
  </si>
  <si>
    <t xml:space="preserve">FIB </t>
  </si>
  <si>
    <t xml:space="preserve">FIdC </t>
  </si>
  <si>
    <t xml:space="preserve">FIGC </t>
  </si>
  <si>
    <t xml:space="preserve">FICK </t>
  </si>
  <si>
    <t xml:space="preserve">FIC </t>
  </si>
  <si>
    <t xml:space="preserve">FCI  </t>
  </si>
  <si>
    <t>FICr</t>
  </si>
  <si>
    <t xml:space="preserve">FGI  </t>
  </si>
  <si>
    <t xml:space="preserve">FIG   </t>
  </si>
  <si>
    <t xml:space="preserve">FIGH    </t>
  </si>
  <si>
    <t>FIH</t>
  </si>
  <si>
    <t>FIHP</t>
  </si>
  <si>
    <t>FILPJK</t>
  </si>
  <si>
    <t>FMSI</t>
  </si>
  <si>
    <t>FMI</t>
  </si>
  <si>
    <t>FIM</t>
  </si>
  <si>
    <t>FIN</t>
  </si>
  <si>
    <t>FIP</t>
  </si>
  <si>
    <t>FIPAV</t>
  </si>
  <si>
    <t>FIPM</t>
  </si>
  <si>
    <t>FIPSAS</t>
  </si>
  <si>
    <t>FPI</t>
  </si>
  <si>
    <t>FIR</t>
  </si>
  <si>
    <t>FIS</t>
  </si>
  <si>
    <t>FISN</t>
  </si>
  <si>
    <t>FISD</t>
  </si>
  <si>
    <t>FISE</t>
  </si>
  <si>
    <t>FISG</t>
  </si>
  <si>
    <t>FISI</t>
  </si>
  <si>
    <t>FIT</t>
  </si>
  <si>
    <t>FITeT</t>
  </si>
  <si>
    <t>FITARCO</t>
  </si>
  <si>
    <t>UITS</t>
  </si>
  <si>
    <t>Unione Italiana Tiro a Segno</t>
  </si>
  <si>
    <t>FITAV</t>
  </si>
  <si>
    <t>FIV</t>
  </si>
  <si>
    <t>Variazioni percentuali</t>
  </si>
  <si>
    <t>Dati assoluti</t>
  </si>
  <si>
    <t xml:space="preserve"> di gara</t>
  </si>
  <si>
    <t>societari</t>
  </si>
  <si>
    <t>Altre figure</t>
  </si>
  <si>
    <t>Operatori territoriali</t>
  </si>
  <si>
    <t xml:space="preserve">FEDERAZIONE </t>
  </si>
  <si>
    <t>AeCI</t>
  </si>
  <si>
    <t>FIDAL</t>
  </si>
  <si>
    <t>ACI</t>
  </si>
  <si>
    <t>FIBS</t>
  </si>
  <si>
    <t>FIB-UBI</t>
  </si>
  <si>
    <t>FIdC</t>
  </si>
  <si>
    <t>FIGC</t>
  </si>
  <si>
    <t>FICK</t>
  </si>
  <si>
    <t>FIC</t>
  </si>
  <si>
    <t>FCI</t>
  </si>
  <si>
    <t>FGI</t>
  </si>
  <si>
    <t>FIG</t>
  </si>
  <si>
    <t>FIGH</t>
  </si>
  <si>
    <t>Aero Club d'Italia (Aeroclub)</t>
  </si>
  <si>
    <t>Automobil Club d'Italia (Scuderie auto-karting)</t>
  </si>
  <si>
    <t>Pesca Sportiva - Attività Subacquee</t>
  </si>
  <si>
    <t>Unione Italiana Tiro a Segno (Sezioni)</t>
  </si>
  <si>
    <t>97/95</t>
  </si>
  <si>
    <t xml:space="preserve"> (c )</t>
  </si>
  <si>
    <t>Aero Club d'Italia (Tess. volo motore e vela, volo da diporto o sportivo,  paracad. sp., aeromod., aerostatica)</t>
  </si>
  <si>
    <t>Automobil Club d'Italia (Concorrente auto, conduttore auto, conc./cond. auto, conc. karting, conc./cond. karting)</t>
  </si>
  <si>
    <t>Federazione Italiana Nuoto (Tess. agonisti)</t>
  </si>
  <si>
    <t>Federazione Italiana Pallacanestro (Tess. agonisti, minibasket)</t>
  </si>
  <si>
    <t>Federazione Italiana Pentathlon Moderno (Tesserati)</t>
  </si>
  <si>
    <t>Federazione Italiana Pesca Sportiva e Attività Subacquee (Tess. adulti, sett. giovanile)</t>
  </si>
  <si>
    <t xml:space="preserve"> Federazione Pugilistica Italiana (Professionisti, non profess., att. giovanile)</t>
  </si>
  <si>
    <t>Federazione Italiana Rugby (Tess. agonisti, propaganda)</t>
  </si>
  <si>
    <t>Federazione Italiana Scherma (Tess. agonisti, propaganda, soci)</t>
  </si>
  <si>
    <t>Federazione Italiana Sci Nautico (Tess. agonisti, soci)</t>
  </si>
  <si>
    <t>Federazione Italiana Sport Disabili (Tesserati)</t>
  </si>
  <si>
    <t>Federazione Italiana Sport Equestri (Tess. agonisti, non agonisti)</t>
  </si>
  <si>
    <t>Federazione Italiana Sport del Ghiaccio (Tess. hockey, velocità, artistico, curling, stock-birilli)</t>
  </si>
  <si>
    <t>Federazione Italiana Sport Invernali (Tesserati agonisti)</t>
  </si>
  <si>
    <t>Federazione Italiana Tennis (Tess. agonisti, amatori)</t>
  </si>
  <si>
    <t>Federazione Italiana Tennistavolo (Tess. agonisti)</t>
  </si>
  <si>
    <t>Unione Italiana Tiro a Segno (Tess. agonisti, giovanissimi, att. amatoriale)</t>
  </si>
  <si>
    <t>Federazione Italiana Tiro a Volo (Tess. agonisti di vertice)</t>
  </si>
  <si>
    <t>Federazione Italiana Vela (Tess. agonisti, att. giovanile)</t>
  </si>
  <si>
    <t>VALORI ASSOLUTI</t>
  </si>
  <si>
    <t>Società sportive (c)</t>
  </si>
  <si>
    <t>Operatori territoriali (d)</t>
  </si>
  <si>
    <t>di cui:</t>
  </si>
  <si>
    <t>Praticanti tesserati</t>
  </si>
  <si>
    <t>VARIAZIONI PERCENTUALI</t>
  </si>
  <si>
    <t>Società sportive</t>
  </si>
  <si>
    <t xml:space="preserve">  Federazioni sportive nazionali</t>
  </si>
  <si>
    <t>Discipline associate (b)</t>
  </si>
  <si>
    <t>Arrampicata Sportiva</t>
  </si>
  <si>
    <t xml:space="preserve">FASI   </t>
  </si>
  <si>
    <t xml:space="preserve">Automobilismo </t>
  </si>
  <si>
    <t>FISAPS</t>
  </si>
  <si>
    <t>Badminton</t>
  </si>
  <si>
    <t xml:space="preserve">FIB                     </t>
  </si>
  <si>
    <t>Biliardo</t>
  </si>
  <si>
    <t xml:space="preserve">FIBiS                  </t>
  </si>
  <si>
    <t>Bridge</t>
  </si>
  <si>
    <t xml:space="preserve">FIGB                  </t>
  </si>
  <si>
    <t>Canottaggio Sedile Fisso</t>
  </si>
  <si>
    <t xml:space="preserve">FICSF                </t>
  </si>
  <si>
    <t>Cricket</t>
  </si>
  <si>
    <t xml:space="preserve">FCrI                    </t>
  </si>
  <si>
    <t>Dama</t>
  </si>
  <si>
    <t xml:space="preserve">FID                      </t>
  </si>
  <si>
    <t>Danza Sportiva</t>
  </si>
  <si>
    <t xml:space="preserve">FIDS                  </t>
  </si>
  <si>
    <t>Football Americano</t>
  </si>
  <si>
    <t xml:space="preserve">FIAF                   </t>
  </si>
  <si>
    <t>Kendo</t>
  </si>
  <si>
    <t xml:space="preserve">FIK                       </t>
  </si>
  <si>
    <t>Palla Tamburello</t>
  </si>
  <si>
    <t xml:space="preserve">FIPT                   </t>
  </si>
  <si>
    <t>Pallone Elastico</t>
  </si>
  <si>
    <t xml:space="preserve">FIPE                   </t>
  </si>
  <si>
    <t>Scacchi</t>
  </si>
  <si>
    <t xml:space="preserve">FSI                      </t>
  </si>
  <si>
    <t>Bowling</t>
  </si>
  <si>
    <t xml:space="preserve">FISB                   </t>
  </si>
  <si>
    <t>Sport Orientamento</t>
  </si>
  <si>
    <t xml:space="preserve">FISO                   </t>
  </si>
  <si>
    <t>Sport Silenziosi</t>
  </si>
  <si>
    <t xml:space="preserve">FISS                  </t>
  </si>
  <si>
    <t>Squash</t>
  </si>
  <si>
    <t xml:space="preserve">FIGS                  </t>
  </si>
  <si>
    <t>Surfing</t>
  </si>
  <si>
    <t xml:space="preserve">FISURF            </t>
  </si>
  <si>
    <t>Taekwondo</t>
  </si>
  <si>
    <t>Trampolino Elastico</t>
  </si>
  <si>
    <t xml:space="preserve">FITE                   </t>
  </si>
  <si>
    <t>Triathlon</t>
  </si>
  <si>
    <t xml:space="preserve">FITr                    </t>
  </si>
  <si>
    <t>Turismo Equestre</t>
  </si>
  <si>
    <t xml:space="preserve">ANTE                </t>
  </si>
  <si>
    <t>Associazione Nazionale Turismo Equestre (enti)</t>
  </si>
  <si>
    <t>Twirling</t>
  </si>
  <si>
    <t xml:space="preserve">FITw                   </t>
  </si>
  <si>
    <t>Wushu Kung Fu</t>
  </si>
  <si>
    <t xml:space="preserve">FIWuK               </t>
  </si>
  <si>
    <t xml:space="preserve">Totale </t>
  </si>
  <si>
    <t>SIGLA</t>
  </si>
  <si>
    <t>GENERALE</t>
  </si>
  <si>
    <t>FASI</t>
  </si>
  <si>
    <t>FIB</t>
  </si>
  <si>
    <t>FIBiS</t>
  </si>
  <si>
    <t>FIGB</t>
  </si>
  <si>
    <t>FICSF</t>
  </si>
  <si>
    <t>FCrI</t>
  </si>
  <si>
    <t>FID</t>
  </si>
  <si>
    <t>FIDS</t>
  </si>
  <si>
    <t>FIAF</t>
  </si>
  <si>
    <t>FIK</t>
  </si>
  <si>
    <t>FIPT</t>
  </si>
  <si>
    <t>Pallone Elstico</t>
  </si>
  <si>
    <t>FIPE</t>
  </si>
  <si>
    <t>FSI</t>
  </si>
  <si>
    <t>FISB</t>
  </si>
  <si>
    <t>FISO</t>
  </si>
  <si>
    <t>FISS</t>
  </si>
  <si>
    <t>FIGS</t>
  </si>
  <si>
    <t>FISURF</t>
  </si>
  <si>
    <t>FITA</t>
  </si>
  <si>
    <t>FITE</t>
  </si>
  <si>
    <t>FITr</t>
  </si>
  <si>
    <t>FITw</t>
  </si>
  <si>
    <t>FIWuK</t>
  </si>
  <si>
    <t>(a) Cfr. stessa nota alla pagina precedente.</t>
  </si>
  <si>
    <t>(b)</t>
  </si>
  <si>
    <t xml:space="preserve">                                 </t>
  </si>
  <si>
    <t>Automobilismo Patenti Speciali</t>
  </si>
  <si>
    <t>(b) I tecnici possono svolgere anche funzioni di ufficiali di gara.</t>
  </si>
  <si>
    <t>OrdOrig</t>
  </si>
  <si>
    <t>ITALIA</t>
  </si>
  <si>
    <t>REGIONI</t>
  </si>
  <si>
    <t>Pallaca-</t>
  </si>
  <si>
    <t>Automobilismo</t>
  </si>
  <si>
    <t>Corse di</t>
  </si>
  <si>
    <t>nestro</t>
  </si>
  <si>
    <t>e motociclismo</t>
  </si>
  <si>
    <t>cavalli</t>
  </si>
  <si>
    <t>invernali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</si>
  <si>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</si>
  <si>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</si>
  <si>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</si>
  <si>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</si>
  <si>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</si>
  <si>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</si>
  <si>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</si>
  <si>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</si>
  <si>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</si>
  <si>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</si>
  <si>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</si>
  <si>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</si>
  <si>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</si>
  <si>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</si>
  <si>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</si>
  <si>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</si>
  <si>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</si>
  <si>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</si>
  <si>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</si>
  <si>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</si>
  <si>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</si>
  <si>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</si>
  <si>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</si>
  <si>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</si>
  <si>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</si>
  <si>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Atletica</t>
  </si>
  <si>
    <t>Baseball</t>
  </si>
  <si>
    <t>Concorsi</t>
  </si>
  <si>
    <t>Nuoto e</t>
  </si>
  <si>
    <t>Altri</t>
  </si>
  <si>
    <t>leggera</t>
  </si>
  <si>
    <t>ippici</t>
  </si>
  <si>
    <t>pallanuoto</t>
  </si>
  <si>
    <t>sport</t>
  </si>
  <si>
    <t>Capoluoghi</t>
  </si>
  <si>
    <t xml:space="preserve">PROVINCE                            </t>
  </si>
  <si>
    <t>di provincia</t>
  </si>
  <si>
    <t>comuni</t>
  </si>
  <si>
    <t xml:space="preserve"> Alessandria </t>
  </si>
  <si>
    <t xml:space="preserve"> Perugia </t>
  </si>
  <si>
    <t xml:space="preserve"> Asti </t>
  </si>
  <si>
    <t xml:space="preserve"> Terni </t>
  </si>
  <si>
    <t xml:space="preserve"> Biella </t>
  </si>
  <si>
    <t xml:space="preserve"> Umbria </t>
  </si>
  <si>
    <t xml:space="preserve"> Cuneo </t>
  </si>
  <si>
    <t xml:space="preserve"> Ancona </t>
  </si>
  <si>
    <t xml:space="preserve"> Novara </t>
  </si>
  <si>
    <t xml:space="preserve"> Ascoli Piceno </t>
  </si>
  <si>
    <t xml:space="preserve"> Torino </t>
  </si>
  <si>
    <t xml:space="preserve"> Macerata </t>
  </si>
  <si>
    <t xml:space="preserve"> Verbano-Cusio-Ossola  </t>
  </si>
  <si>
    <t xml:space="preserve"> Pesaro e Urbino </t>
  </si>
  <si>
    <t xml:space="preserve"> Vercelli </t>
  </si>
  <si>
    <t xml:space="preserve"> Marche </t>
  </si>
  <si>
    <t xml:space="preserve"> Piemonte </t>
  </si>
  <si>
    <t xml:space="preserve"> Frosinone </t>
  </si>
  <si>
    <t xml:space="preserve"> Valle d'Aosta </t>
  </si>
  <si>
    <t xml:space="preserve"> Latina </t>
  </si>
  <si>
    <t xml:space="preserve"> Bergamo </t>
  </si>
  <si>
    <t xml:space="preserve"> Rieti </t>
  </si>
  <si>
    <t xml:space="preserve"> Brescia </t>
  </si>
  <si>
    <t xml:space="preserve"> Roma </t>
  </si>
  <si>
    <t xml:space="preserve"> Como </t>
  </si>
  <si>
    <t xml:space="preserve"> Viterbo </t>
  </si>
  <si>
    <t xml:space="preserve"> Cremona </t>
  </si>
  <si>
    <t xml:space="preserve"> Lazio </t>
  </si>
  <si>
    <t xml:space="preserve"> Lecco </t>
  </si>
  <si>
    <t xml:space="preserve"> Chieti </t>
  </si>
  <si>
    <t xml:space="preserve"> Lodi </t>
  </si>
  <si>
    <t xml:space="preserve"> L'Aquila </t>
  </si>
  <si>
    <t xml:space="preserve"> Mantova </t>
  </si>
  <si>
    <t xml:space="preserve"> Pescara </t>
  </si>
  <si>
    <t xml:space="preserve"> Milano </t>
  </si>
  <si>
    <t xml:space="preserve"> Teramo </t>
  </si>
  <si>
    <t xml:space="preserve"> Pavia </t>
  </si>
  <si>
    <t xml:space="preserve"> Abruzzo </t>
  </si>
  <si>
    <t xml:space="preserve"> Sondrio </t>
  </si>
  <si>
    <t xml:space="preserve"> Campobasso </t>
  </si>
  <si>
    <t xml:space="preserve"> Varese </t>
  </si>
  <si>
    <t xml:space="preserve"> Isernia </t>
  </si>
  <si>
    <t xml:space="preserve"> Lombardia </t>
  </si>
  <si>
    <t xml:space="preserve"> Molise </t>
  </si>
  <si>
    <t xml:space="preserve"> Bolzano-Bozen </t>
  </si>
  <si>
    <t xml:space="preserve"> Avellino </t>
  </si>
  <si>
    <t xml:space="preserve"> Trento </t>
  </si>
  <si>
    <t xml:space="preserve"> Benevento </t>
  </si>
  <si>
    <t xml:space="preserve"> Caserta </t>
  </si>
  <si>
    <t xml:space="preserve"> Belluno </t>
  </si>
  <si>
    <t xml:space="preserve"> Napoli </t>
  </si>
  <si>
    <t xml:space="preserve"> Padova </t>
  </si>
  <si>
    <t xml:space="preserve"> Salerno </t>
  </si>
  <si>
    <t xml:space="preserve"> Rovigo </t>
  </si>
  <si>
    <t xml:space="preserve"> Campania </t>
  </si>
  <si>
    <t xml:space="preserve"> Treviso </t>
  </si>
  <si>
    <t xml:space="preserve"> Bari </t>
  </si>
  <si>
    <t xml:space="preserve"> Venezia </t>
  </si>
  <si>
    <t xml:space="preserve"> Brindisi </t>
  </si>
  <si>
    <t xml:space="preserve"> Verona </t>
  </si>
  <si>
    <t xml:space="preserve"> Foggia </t>
  </si>
  <si>
    <t xml:space="preserve"> Vicenza </t>
  </si>
  <si>
    <t xml:space="preserve"> Lecce </t>
  </si>
  <si>
    <t xml:space="preserve"> Veneto </t>
  </si>
  <si>
    <t xml:space="preserve"> Taranto </t>
  </si>
  <si>
    <t xml:space="preserve"> Gorizia </t>
  </si>
  <si>
    <t xml:space="preserve"> Puglia </t>
  </si>
  <si>
    <t xml:space="preserve"> Pordenone </t>
  </si>
  <si>
    <t xml:space="preserve"> Matera </t>
  </si>
  <si>
    <t xml:space="preserve"> Trieste </t>
  </si>
  <si>
    <t xml:space="preserve"> Potenza </t>
  </si>
  <si>
    <t xml:space="preserve"> Udine </t>
  </si>
  <si>
    <t xml:space="preserve"> Basilicata </t>
  </si>
  <si>
    <t xml:space="preserve"> Catanzaro </t>
  </si>
  <si>
    <t xml:space="preserve"> Genova </t>
  </si>
  <si>
    <t xml:space="preserve"> Cosenza </t>
  </si>
  <si>
    <t xml:space="preserve"> Imperia </t>
  </si>
  <si>
    <t xml:space="preserve"> Crotone </t>
  </si>
  <si>
    <t xml:space="preserve"> La Spezia </t>
  </si>
  <si>
    <t xml:space="preserve"> Reggio di Calabria </t>
  </si>
  <si>
    <t xml:space="preserve"> Savona </t>
  </si>
  <si>
    <t xml:space="preserve"> Vibo Valentia </t>
  </si>
  <si>
    <t xml:space="preserve"> Liguria </t>
  </si>
  <si>
    <t xml:space="preserve"> Calabria </t>
  </si>
  <si>
    <t xml:space="preserve"> Bologna </t>
  </si>
  <si>
    <t xml:space="preserve"> Agrigento </t>
  </si>
  <si>
    <t xml:space="preserve"> Ferrara </t>
  </si>
  <si>
    <t xml:space="preserve"> Caltanissetta </t>
  </si>
  <si>
    <t xml:space="preserve"> Forlì-Cesena </t>
  </si>
  <si>
    <t xml:space="preserve"> Catania </t>
  </si>
  <si>
    <t xml:space="preserve"> Modena </t>
  </si>
  <si>
    <t xml:space="preserve"> Enna </t>
  </si>
  <si>
    <t xml:space="preserve"> Parma </t>
  </si>
  <si>
    <t xml:space="preserve"> Messina </t>
  </si>
  <si>
    <t xml:space="preserve"> Piacenza </t>
  </si>
  <si>
    <t xml:space="preserve"> Palermo </t>
  </si>
  <si>
    <t xml:space="preserve"> Ravenna </t>
  </si>
  <si>
    <t xml:space="preserve"> Ragusa </t>
  </si>
  <si>
    <t xml:space="preserve"> Reggio nell'Emilia </t>
  </si>
  <si>
    <t xml:space="preserve"> Siracusa </t>
  </si>
  <si>
    <t xml:space="preserve"> Rimini </t>
  </si>
  <si>
    <t xml:space="preserve"> Trapani </t>
  </si>
  <si>
    <t xml:space="preserve"> Emilia-Romagna </t>
  </si>
  <si>
    <t xml:space="preserve"> Sicilia </t>
  </si>
  <si>
    <t xml:space="preserve"> Arezzo </t>
  </si>
  <si>
    <t xml:space="preserve"> Cagliari </t>
  </si>
  <si>
    <t xml:space="preserve"> Firenze </t>
  </si>
  <si>
    <t xml:space="preserve"> Nuoro </t>
  </si>
  <si>
    <t xml:space="preserve"> Grosseto </t>
  </si>
  <si>
    <t xml:space="preserve"> Oristano </t>
  </si>
  <si>
    <t xml:space="preserve"> Livorno </t>
  </si>
  <si>
    <t xml:space="preserve"> Sassari </t>
  </si>
  <si>
    <t xml:space="preserve"> Lucca </t>
  </si>
  <si>
    <t xml:space="preserve"> Sardegna </t>
  </si>
  <si>
    <t xml:space="preserve"> Massa-Carrara </t>
  </si>
  <si>
    <t xml:space="preserve"> Pisa </t>
  </si>
  <si>
    <t xml:space="preserve"> Pistoia </t>
  </si>
  <si>
    <t xml:space="preserve"> I T A L I A </t>
  </si>
  <si>
    <t xml:space="preserve"> Prato </t>
  </si>
  <si>
    <t xml:space="preserve"> NORD </t>
  </si>
  <si>
    <t xml:space="preserve"> Siena </t>
  </si>
  <si>
    <t xml:space="preserve"> CENTRO </t>
  </si>
  <si>
    <t xml:space="preserve"> Toscana </t>
  </si>
  <si>
    <t xml:space="preserve"> MEZZOGIORNO</t>
  </si>
  <si>
    <t>Maschi</t>
  </si>
  <si>
    <t>Femmine</t>
  </si>
  <si>
    <t>3-5 anni</t>
  </si>
  <si>
    <t>6-10</t>
  </si>
  <si>
    <t xml:space="preserve">11-14 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</si>
  <si>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</si>
  <si>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</si>
  <si>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</si>
  <si>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</si>
  <si>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</si>
  <si>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</si>
  <si>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</si>
  <si>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</si>
  <si>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 e più                                 </t>
  </si>
  <si>
    <t xml:space="preserve">Laurea            </t>
  </si>
  <si>
    <t>Licenza media superiore</t>
  </si>
  <si>
    <t>Licenza media inferiore</t>
  </si>
  <si>
    <t>Biella</t>
  </si>
  <si>
    <t>Lodi</t>
  </si>
  <si>
    <t>Lecco</t>
  </si>
  <si>
    <t>Rimini</t>
  </si>
  <si>
    <t>Crotone</t>
  </si>
  <si>
    <t>Prato</t>
  </si>
  <si>
    <t>Vibo Valentia</t>
  </si>
  <si>
    <t>PROVINCE</t>
  </si>
  <si>
    <t>SESSO</t>
  </si>
  <si>
    <t>ETÀ</t>
  </si>
  <si>
    <t>TITOLO DI STUDIO</t>
  </si>
  <si>
    <t>RIPARTIZIONE GEOGRAFICA</t>
  </si>
  <si>
    <t>CLASSI DI ETA'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</si>
  <si>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</si>
  <si>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</si>
  <si>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</si>
  <si>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</si>
  <si>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</si>
  <si>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</si>
  <si>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</si>
  <si>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</si>
  <si>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</si>
  <si>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</si>
  <si>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</si>
  <si>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</si>
  <si>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Licenza elementare - nessun titolo</t>
  </si>
  <si>
    <t>Italia nord-ovest</t>
  </si>
  <si>
    <t>Italia nord-est</t>
  </si>
  <si>
    <t>Italia centrale</t>
  </si>
  <si>
    <t>Italia meridionale</t>
  </si>
  <si>
    <t>Italia insulare</t>
  </si>
  <si>
    <t>N.</t>
  </si>
  <si>
    <t>per 100.000 abitanti</t>
  </si>
  <si>
    <t>Sport</t>
  </si>
  <si>
    <t xml:space="preserve"> Friuli-V. G.</t>
  </si>
  <si>
    <t xml:space="preserve"> Trentino-A.A.</t>
  </si>
  <si>
    <t xml:space="preserve">Tavola 7.1 - </t>
  </si>
  <si>
    <t xml:space="preserve">            - Dirigenti societari</t>
  </si>
  <si>
    <t xml:space="preserve">            - Tecnici</t>
  </si>
  <si>
    <t xml:space="preserve">            - Ufficiali di gara</t>
  </si>
  <si>
    <t>Tavola 7.8 -</t>
  </si>
  <si>
    <t xml:space="preserve">                     </t>
  </si>
  <si>
    <t xml:space="preserve">Tavola 7.9 - </t>
  </si>
  <si>
    <t xml:space="preserve">Tavola 7.10 - </t>
  </si>
  <si>
    <t xml:space="preserve">Tavola 7.12 - </t>
  </si>
  <si>
    <t xml:space="preserve">                         </t>
  </si>
  <si>
    <t xml:space="preserve">Tavola 7.13 - </t>
  </si>
  <si>
    <t xml:space="preserve">                      </t>
  </si>
  <si>
    <t xml:space="preserve">Tavola 7.14 - </t>
  </si>
  <si>
    <t xml:space="preserve">Tavola 7.15 - </t>
  </si>
  <si>
    <t>Fonte: Istat, indagine "Tempo libero e cultura".</t>
  </si>
  <si>
    <t xml:space="preserve">PROVINCE                          </t>
  </si>
  <si>
    <t>Handball, Pallamano</t>
  </si>
  <si>
    <t>Lotta, Pesi, Judo, Karate</t>
  </si>
  <si>
    <t>Atletica leggera</t>
  </si>
  <si>
    <t>Aeronautica sportiva</t>
  </si>
  <si>
    <t>Automobilismo sportivo</t>
  </si>
  <si>
    <t>Cronometraggio sportivo</t>
  </si>
  <si>
    <t>Medicina sportiva</t>
  </si>
  <si>
    <t>TITOLO DI STUDIO (a)</t>
  </si>
  <si>
    <t>(a) I dati per titolo di studio sono calcolati per la popolazione di 6 anni e più.</t>
  </si>
  <si>
    <t xml:space="preserve">Tavola 7.2 - </t>
  </si>
  <si>
    <t>Fed. It. di Atletica Leggera</t>
  </si>
  <si>
    <t>Fed. It. Baseball Softball</t>
  </si>
  <si>
    <t>Fed. It. Bocce</t>
  </si>
  <si>
    <t>Fed. It. Caccia (Sezioni)</t>
  </si>
  <si>
    <t>Fed. It. Gioco Calcio</t>
  </si>
  <si>
    <t>Fed. It. Canoa e Kayak</t>
  </si>
  <si>
    <t>Fed. It. Canottaggio</t>
  </si>
  <si>
    <t>Fed. It. Golf (Circoli)</t>
  </si>
  <si>
    <t>Fed. It. Gioco Handball</t>
  </si>
  <si>
    <t>Fed. It. Hockey</t>
  </si>
  <si>
    <t>Fed. It. Hockey e Pattinaggio</t>
  </si>
  <si>
    <t>Fed. It. Lotta Pesi Judo Karate</t>
  </si>
  <si>
    <t>Fed. It. Motonautica</t>
  </si>
  <si>
    <t>Fed. It. Nuoto</t>
  </si>
  <si>
    <t>Fed. It. Pallacanestro</t>
  </si>
  <si>
    <t>Fed. It. Pallavolo</t>
  </si>
  <si>
    <t>Fed. It. Pentathlon Moderno</t>
  </si>
  <si>
    <t>Fed. It. Rugby</t>
  </si>
  <si>
    <t>Fed. It. Scherma</t>
  </si>
  <si>
    <t>Fed. It. Sci Nautico</t>
  </si>
  <si>
    <t>Fed. It. Sport Disabili</t>
  </si>
  <si>
    <t>Fed. It. Sport Equestri (Enti affiliati)</t>
  </si>
  <si>
    <t>Fed. It. Sport del Ghiaccio</t>
  </si>
  <si>
    <t>Fed. It. Sport Invernali</t>
  </si>
  <si>
    <t>Fed. It. Tennis</t>
  </si>
  <si>
    <t>Fed. It. Tennistavolo</t>
  </si>
  <si>
    <t>Fed. It. Tiro con l' Arco</t>
  </si>
  <si>
    <t>Fed. It. Tiro a Volo</t>
  </si>
  <si>
    <t>Fed. It. Vela</t>
  </si>
  <si>
    <t>Fed. Ciclistica Italiana</t>
  </si>
  <si>
    <t>Fed.  Italiana Cronometristi (Associazioni)</t>
  </si>
  <si>
    <t>Fed. Ginnastica d'Italia</t>
  </si>
  <si>
    <t>Fed. Medico Sportiva Italiana (Associazioni)</t>
  </si>
  <si>
    <t>Fed. Motociclistica Italiana (Motoclub)</t>
  </si>
  <si>
    <t>Fed. Pesca Sportiva</t>
  </si>
  <si>
    <t>Fed. Pugilistica Italiana</t>
  </si>
  <si>
    <t xml:space="preserve">SIGLA </t>
  </si>
  <si>
    <t>FEDERAZIONE (b)</t>
  </si>
  <si>
    <t>Fed. It. della Caccia</t>
  </si>
  <si>
    <t>Fed.Ciclistica Italiana</t>
  </si>
  <si>
    <t>Fed. It. Cronometristi(b)</t>
  </si>
  <si>
    <t>Fed.Ginnastica d'Italia</t>
  </si>
  <si>
    <t>Fed. It. Golf</t>
  </si>
  <si>
    <t>Fed.Medico Sportiva Italiana</t>
  </si>
  <si>
    <t>Fed.Motociclistica Italiana</t>
  </si>
  <si>
    <t>Fed. It. Pesca Sportiva e Attività Subacquee</t>
  </si>
  <si>
    <t>Fed.Pugilistica Italiana</t>
  </si>
  <si>
    <t>Fed. It. Sport Equestri</t>
  </si>
  <si>
    <t>Fed.Arrampicata Sportiva Italiana</t>
  </si>
  <si>
    <t>Fed. It. Sportiva Automobilismo Patenti Speciali</t>
  </si>
  <si>
    <t>Fed. It. Badminton</t>
  </si>
  <si>
    <t>Fed. It. Biliardo Sportivo</t>
  </si>
  <si>
    <t>Fed. It. Gioco Bridge  (circoli)</t>
  </si>
  <si>
    <t>Fed. It. Canottaggio Sedile Fisso</t>
  </si>
  <si>
    <t>Fed.Cricket Italiana</t>
  </si>
  <si>
    <t>Fed. It. Dama</t>
  </si>
  <si>
    <t>Fed. It. Danza Sportiva (associazioni)</t>
  </si>
  <si>
    <t>Fed. It. American Football</t>
  </si>
  <si>
    <t>Fed. It. Kendo</t>
  </si>
  <si>
    <t>Fed. It. Palla Tamburello</t>
  </si>
  <si>
    <t>Fed. It. Pallone Elastico</t>
  </si>
  <si>
    <t>Fed.Scacchistica Italiana  (circoli)</t>
  </si>
  <si>
    <t>Fed. It. Sport Bowling (associazioni sportive)</t>
  </si>
  <si>
    <t>Fed. It. Sport Orientamento</t>
  </si>
  <si>
    <t>Fed. It. Sport Silenziosi</t>
  </si>
  <si>
    <t>Fed. It. Giuoco Squash</t>
  </si>
  <si>
    <t>Fed. It. Surfing</t>
  </si>
  <si>
    <t>Fed. It. Trampolino Elastico</t>
  </si>
  <si>
    <t>Fed. It. Triathlon</t>
  </si>
  <si>
    <t>Fed. It. Twirling</t>
  </si>
  <si>
    <t>Fed. It. Wushu Kung Fu</t>
  </si>
  <si>
    <t xml:space="preserve">Fed. It. Taekwondo </t>
  </si>
  <si>
    <t>Fed. Arrampicata Sportiva Italiana</t>
  </si>
  <si>
    <t>Fed. Cricket Italiana</t>
  </si>
  <si>
    <t>Fed.  Italiana Kendo</t>
  </si>
  <si>
    <t>Fed. Scacchistica Italiana</t>
  </si>
  <si>
    <t>Fed. It. Sport Automobilismo Patenti Speciali</t>
  </si>
  <si>
    <t>Fed. It. Gioco Bridge</t>
  </si>
  <si>
    <t>Fed. It. Danza Sportiva</t>
  </si>
  <si>
    <t>Fed. It. Sport Bowling</t>
  </si>
  <si>
    <t>Fed. It. Taekwondo</t>
  </si>
  <si>
    <t xml:space="preserve">Fed. It. Wushu Kung Fu </t>
  </si>
  <si>
    <t>DISCIPLINE ASSOCIATE</t>
  </si>
  <si>
    <t>99/97</t>
  </si>
  <si>
    <r>
      <t>Tavola 7.3 - Operatori sportivi delle Federazioni sportive nazionali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Anno 1999</t>
    </r>
    <r>
      <rPr>
        <sz val="9"/>
        <rFont val="Arial"/>
        <family val="2"/>
      </rPr>
      <t xml:space="preserve"> (a)</t>
    </r>
  </si>
  <si>
    <t>Federazione Italiana di Atletica Leggera (Tess. sett. agonisti, sett. promozionale)</t>
  </si>
  <si>
    <t>Federazione Italiana Baseball Softball (Tesserati)</t>
  </si>
  <si>
    <t>Federazione Italiana Bocce (Tesserati raffa, volo, petanque)</t>
  </si>
  <si>
    <t>Federazione Italiana della Caccia (Tesserati att. agonistica, att. amatoriale)</t>
  </si>
  <si>
    <t>Federazione Italiana Gioco Calcio (Professionisti, non profess., giovani)</t>
  </si>
  <si>
    <t>Federazione Italiana Canoa e Kayak (Tesserati)</t>
  </si>
  <si>
    <t>Federazione Italiana Canottaggio (Tess. agonisti, att. amatoriale)</t>
  </si>
  <si>
    <t>Federazione Ciclistica Italiana (Tess. agonisti, att. giovanile, ciclo-turisti, ciclo amatori)</t>
  </si>
  <si>
    <t>Federazione Italiana Cronometristi (vedi operatori)</t>
  </si>
  <si>
    <t>Federazione Ginnastica d'Italia (Tess. agonisti, ginnastica generale)</t>
  </si>
  <si>
    <t>Federazione Italiana Golf (Tess. agonisti, tess. campi pratica)</t>
  </si>
  <si>
    <t>Federazione Italiana Gioco Handball (Tess. agonisti, att. promozionale)</t>
  </si>
  <si>
    <t>Federazione Italiana Hockey (Tesserati)</t>
  </si>
  <si>
    <t>Federazione Italiana Hockey e Pattinaggio (Tess. agonisti, amatori)</t>
  </si>
  <si>
    <t>Federazione Italiana Lotta Pesi Judo Karate (Tess. lotta, pesi, judo, aikido, ju-jitsu, karate)</t>
  </si>
  <si>
    <t>Federazione Medico Sportiva Italiana (vedi operatori)</t>
  </si>
  <si>
    <t>Federazione Motociclistica Italiana (Tess. agonisti, non agonisti, att. amatoriale-turistica)</t>
  </si>
  <si>
    <t>Federazione Italiana Motonautica (Tess. lic. pilota, lic. modellista, att. amatoriale)</t>
  </si>
  <si>
    <t>SIGLA (b)</t>
  </si>
  <si>
    <t>Federazione Italiana Pallavolo   (Tess. Agonisti)</t>
  </si>
  <si>
    <t>Federazione Italiana Tiro con         l' Arco (Tess. agonisti)</t>
  </si>
  <si>
    <r>
      <t>Tavola 7.4 - Praticanti tesserati delle Federazioni sportive nazionali - Anni 1995,1997, 1999</t>
    </r>
    <r>
      <rPr>
        <sz val="9.5"/>
        <rFont val="Arial"/>
        <family val="2"/>
      </rPr>
      <t xml:space="preserve"> (a)</t>
    </r>
  </si>
  <si>
    <r>
      <t xml:space="preserve">Tavola 7.4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</t>
    </r>
  </si>
  <si>
    <r>
      <t>Tavola 7.5 - Società sportive delle discipline associate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1995, 1997 e 1999</t>
    </r>
    <r>
      <rPr>
        <sz val="9"/>
        <rFont val="Arial"/>
        <family val="2"/>
      </rPr>
      <t>(a)</t>
    </r>
  </si>
  <si>
    <r>
      <t xml:space="preserve">Tavola 7.6 - Operatori sportivi delle discipline associate - Anno 1999 </t>
    </r>
    <r>
      <rPr>
        <sz val="9"/>
        <rFont val="Arial"/>
        <family val="2"/>
      </rPr>
      <t>(a)</t>
    </r>
  </si>
  <si>
    <r>
      <t>Tavola 7.7 - Praticanti tesserati delle discipline associate - Anno 1995, 1997, 1999</t>
    </r>
    <r>
      <rPr>
        <sz val="9"/>
        <rFont val="Arial"/>
        <family val="2"/>
      </rPr>
      <t xml:space="preserve"> (a)</t>
    </r>
  </si>
  <si>
    <t>Federazione Arrampicata Sportiva Italiana (Tess. agonisti, amatori)</t>
  </si>
  <si>
    <t>Federazione Italiana Sport Automobilismo Patenti Speciali (Tess. agonisti, amatori)</t>
  </si>
  <si>
    <t>..</t>
  </si>
  <si>
    <t>Federazione Italiana Badminton (Tess. agonisti, amatori)</t>
  </si>
  <si>
    <t>Federazione Italiana Biliardo Sportivo (Atleti C.I., professionisti, agonisti dil., amatori)</t>
  </si>
  <si>
    <t>Federazione Italiana Gioco Bridge (Tesserati)</t>
  </si>
  <si>
    <t>Federazione Italiana Canottaggio Sedile Fisso (Tesserati agonisti, amatori)</t>
  </si>
  <si>
    <t>Federazione Cricket Italiana (Tess. agonisti, pre-agonisti)</t>
  </si>
  <si>
    <t>Federazione Italiana Dama (Tesserati agonisti, amatori)</t>
  </si>
  <si>
    <t>Federazione Italiana Danza Sportiva (Tess. atleti, soci ordinari, att. propedeutica)</t>
  </si>
  <si>
    <t>Federazione Italiana American Football (Tesserati)</t>
  </si>
  <si>
    <t>Federazione  Italiana Kendo (Tesserati agonisti, amatori)</t>
  </si>
  <si>
    <t>Federazione Italiana Palla Tamburello (Tesserati)</t>
  </si>
  <si>
    <t>Federazione Italiana Pallone Elastico (Tesserati)</t>
  </si>
  <si>
    <t>Federazione Scacchistica Italiana (Soci, Maestri)</t>
  </si>
  <si>
    <t>Federazione Italiana Sport Bowling (Tesserati)</t>
  </si>
  <si>
    <t>Federazione Italiana Sport Orientamento (Tesserati agonisti, non agonisti)</t>
  </si>
  <si>
    <t>Federazione Italiana Sport Silenziosi (Tesserati)</t>
  </si>
  <si>
    <t>Federazione Italiana Giuoco Squash (Tesserati agonisti, amatori)</t>
  </si>
  <si>
    <t>Federazione Italiana Surfing (Tesserati agonisti, soci sostenitori)</t>
  </si>
  <si>
    <t>Federazione Italiana Taekwondo (Tesserati)</t>
  </si>
  <si>
    <t>Federazione Italiana Trampolino Elastico (Tesserati)</t>
  </si>
  <si>
    <t xml:space="preserve"> Federazione Italiana Triathlon (Tesserati)</t>
  </si>
  <si>
    <t>Federazione Italiana Twirling (Tess. agonisti, promozionali, amatori)</t>
  </si>
  <si>
    <t>Federazione Italiana Wushu Kung Fu (Tess. agonisti, soci)</t>
  </si>
  <si>
    <t xml:space="preserve">Aosta          </t>
  </si>
  <si>
    <t xml:space="preserve">Brescia        </t>
  </si>
  <si>
    <t xml:space="preserve">Laspezia       </t>
  </si>
  <si>
    <t xml:space="preserve">Cagliari       </t>
  </si>
  <si>
    <t xml:space="preserve">Isernia        </t>
  </si>
  <si>
    <t xml:space="preserve">Ravenna        </t>
  </si>
  <si>
    <t xml:space="preserve">Gorizia        </t>
  </si>
  <si>
    <t xml:space="preserve">Treviso        </t>
  </si>
  <si>
    <t xml:space="preserve">Savona         </t>
  </si>
  <si>
    <t xml:space="preserve">Potenza        </t>
  </si>
  <si>
    <t xml:space="preserve">Bolzano        </t>
  </si>
  <si>
    <t xml:space="preserve">Asti           </t>
  </si>
  <si>
    <t xml:space="preserve">Vercelli       </t>
  </si>
  <si>
    <t xml:space="preserve">Lucca          </t>
  </si>
  <si>
    <t xml:space="preserve">Rieti          </t>
  </si>
  <si>
    <t xml:space="preserve">Vicenza        </t>
  </si>
  <si>
    <t xml:space="preserve">Oristano       </t>
  </si>
  <si>
    <t xml:space="preserve">Matera         </t>
  </si>
  <si>
    <t xml:space="preserve">Macerata       </t>
  </si>
  <si>
    <t xml:space="preserve">Modena         </t>
  </si>
  <si>
    <t xml:space="preserve">Trento         </t>
  </si>
  <si>
    <t xml:space="preserve">Verona         </t>
  </si>
  <si>
    <t xml:space="preserve">Belluno        </t>
  </si>
  <si>
    <t xml:space="preserve">Messina        </t>
  </si>
  <si>
    <t xml:space="preserve">Sondrio        </t>
  </si>
  <si>
    <t xml:space="preserve">Chieti         </t>
  </si>
  <si>
    <t xml:space="preserve">Pordenone      </t>
  </si>
  <si>
    <t xml:space="preserve">Genova         </t>
  </si>
  <si>
    <t xml:space="preserve">Udine          </t>
  </si>
  <si>
    <t xml:space="preserve">Ferrara        </t>
  </si>
  <si>
    <t xml:space="preserve">Ascoli Piceno  </t>
  </si>
  <si>
    <t xml:space="preserve">Bologna        </t>
  </si>
  <si>
    <t xml:space="preserve">Terni          </t>
  </si>
  <si>
    <t xml:space="preserve">Padova         </t>
  </si>
  <si>
    <t xml:space="preserve">Cremona        </t>
  </si>
  <si>
    <t xml:space="preserve">L'aquila       </t>
  </si>
  <si>
    <t xml:space="preserve">Alessandria    </t>
  </si>
  <si>
    <t xml:space="preserve">Siracusa       </t>
  </si>
  <si>
    <t xml:space="preserve">Como           </t>
  </si>
  <si>
    <t xml:space="preserve">Benevento      </t>
  </si>
  <si>
    <t xml:space="preserve">Sassari        </t>
  </si>
  <si>
    <t xml:space="preserve">Caltanissetta  </t>
  </si>
  <si>
    <t xml:space="preserve">Ancona         </t>
  </si>
  <si>
    <t xml:space="preserve">Frosinone      </t>
  </si>
  <si>
    <t xml:space="preserve">Forli          </t>
  </si>
  <si>
    <t xml:space="preserve">Venezia        </t>
  </si>
  <si>
    <t>Verbania (Verbano-Cusio-Ossola)</t>
  </si>
  <si>
    <t>Reggio Calabria</t>
  </si>
  <si>
    <t xml:space="preserve">Novara         </t>
  </si>
  <si>
    <t xml:space="preserve">Pesaro Urbino  </t>
  </si>
  <si>
    <t xml:space="preserve">Avellino       </t>
  </si>
  <si>
    <t xml:space="preserve">Trieste        </t>
  </si>
  <si>
    <t xml:space="preserve">Nuoro          </t>
  </si>
  <si>
    <t xml:space="preserve">Salerno        </t>
  </si>
  <si>
    <t xml:space="preserve">Imperia        </t>
  </si>
  <si>
    <t xml:space="preserve">Firenze        </t>
  </si>
  <si>
    <t xml:space="preserve">Pisa           </t>
  </si>
  <si>
    <t xml:space="preserve">Trapani        </t>
  </si>
  <si>
    <t xml:space="preserve">Viterbo        </t>
  </si>
  <si>
    <t xml:space="preserve">Latina         </t>
  </si>
  <si>
    <t xml:space="preserve">Piacenza       </t>
  </si>
  <si>
    <t xml:space="preserve">Torino         </t>
  </si>
  <si>
    <t xml:space="preserve">Massa Carrara  </t>
  </si>
  <si>
    <t xml:space="preserve">Milano         </t>
  </si>
  <si>
    <t xml:space="preserve">Siena          </t>
  </si>
  <si>
    <t xml:space="preserve">Grosseto       </t>
  </si>
  <si>
    <t xml:space="preserve">Cosenza        </t>
  </si>
  <si>
    <t xml:space="preserve">Reggio Emilia  </t>
  </si>
  <si>
    <t xml:space="preserve">Ragusa         </t>
  </si>
  <si>
    <t xml:space="preserve">Perugia        </t>
  </si>
  <si>
    <t xml:space="preserve">Lecce          </t>
  </si>
  <si>
    <t xml:space="preserve">Livorno        </t>
  </si>
  <si>
    <t xml:space="preserve">Catania        </t>
  </si>
  <si>
    <t xml:space="preserve">Rovigo         </t>
  </si>
  <si>
    <t xml:space="preserve">Roma           </t>
  </si>
  <si>
    <t xml:space="preserve">Arezzo         </t>
  </si>
  <si>
    <t xml:space="preserve">Brindisi       </t>
  </si>
  <si>
    <t xml:space="preserve">Teramo         </t>
  </si>
  <si>
    <t xml:space="preserve">Enna           </t>
  </si>
  <si>
    <t xml:space="preserve">Mantova        </t>
  </si>
  <si>
    <t xml:space="preserve">Palermo        </t>
  </si>
  <si>
    <t xml:space="preserve">Bergamo        </t>
  </si>
  <si>
    <t xml:space="preserve">Caserta        </t>
  </si>
  <si>
    <t xml:space="preserve">Pescara        </t>
  </si>
  <si>
    <t xml:space="preserve">Taranto        </t>
  </si>
  <si>
    <t xml:space="preserve">Catanzaro      </t>
  </si>
  <si>
    <t xml:space="preserve">Bari           </t>
  </si>
  <si>
    <t xml:space="preserve">Parma          </t>
  </si>
  <si>
    <t xml:space="preserve">Foggia         </t>
  </si>
  <si>
    <t xml:space="preserve">Pistoia        </t>
  </si>
  <si>
    <t xml:space="preserve">Varese         </t>
  </si>
  <si>
    <t xml:space="preserve">Napoli         </t>
  </si>
  <si>
    <t xml:space="preserve">Cuneo          </t>
  </si>
  <si>
    <t xml:space="preserve">Agrigento      </t>
  </si>
  <si>
    <t xml:space="preserve">Campobasso     </t>
  </si>
  <si>
    <t xml:space="preserve">Pavia          </t>
  </si>
  <si>
    <r>
      <t xml:space="preserve">Tavola 7.11 - Spesa del pubblico per genere di sport e regione - Anno 1999 </t>
    </r>
    <r>
      <rPr>
        <i/>
        <sz val="9"/>
        <rFont val="Arial"/>
        <family val="2"/>
      </rPr>
      <t>(dati in milioni di lire)</t>
    </r>
  </si>
  <si>
    <t>Giochi e sport tradizionali</t>
  </si>
  <si>
    <t>FIGeST</t>
  </si>
  <si>
    <t>Fed. It. Giochi e sport tradizionali</t>
  </si>
  <si>
    <t>SOCIETA'       OPERATORI PRATICANTI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</si>
</sst>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.&quot;\ * #,##0_-;\-&quot;£.&quot;\ * #,##0_-;_-&quot;£.&quot;\ * &quot;-&quot;_-;_-@_-"/>
    <numFmt numFmtId="171" formatCode="0;[Red]0"/>
    <numFmt numFmtId="172" formatCode="#,##0;[Red]#,##0"/>
    <numFmt numFmtId="173" formatCode="0.0"/>
    <numFmt numFmtId="174" formatCode="_-* #,##0.0_-;\-* #,##0.0_-;_-* &quot;-&quot;_-;_-@_-"/>
    <numFmt numFmtId="175" formatCode="#,##0.0;[Red]#,##0.0"/>
    <numFmt numFmtId="176" formatCode="#,##0.0_ ;\-#,##0.0\ 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_-* #,##0.000000_-;\-* #,##0.000000_-;_-* &quot;-&quot;_-;_-@_-"/>
    <numFmt numFmtId="182" formatCode="_-* #,##0.0000000_-;\-* #,##0.0000000_-;_-* &quot;-&quot;_-;_-@_-"/>
    <numFmt numFmtId="183" formatCode="_-* #,##0.00000000_-;\-* #,##0.00000000_-;_-* &quot;-&quot;_-;_-@_-"/>
    <numFmt numFmtId="184" formatCode="0.0000"/>
    <numFmt numFmtId="185" formatCode="0.000"/>
    <numFmt numFmtId="186" formatCode="_-* #,##0.000000000_-;\-* #,##0.000000000_-;_-* &quot;-&quot;_-;_-@_-"/>
    <numFmt numFmtId="187" formatCode="_-* #,##0.0000000000_-;\-* #,##0.0000000000_-;_-* &quot;-&quot;_-;_-@_-"/>
    <numFmt numFmtId="188" formatCode="_-* #,##0.00000000000_-;\-* #,##0.00000000000_-;_-* &quot;-&quot;_-;_-@_-"/>
    <numFmt numFmtId="189" formatCode="_-* #,##0.000000000000_-;\-* #,##0.000000000000_-;_-* &quot;-&quot;_-;_-@_-"/>
    <numFmt numFmtId="190" formatCode="_-* #,##0.0000000000000_-;\-* #,##0.0000000000000_-;_-* &quot;-&quot;_-;_-@_-"/>
    <numFmt numFmtId="191" formatCode="_-* #,##0.00000000000000_-;\-* #,##0.00000000000000_-;_-* &quot;-&quot;_-;_-@_-"/>
    <numFmt numFmtId="192" formatCode="0.0000000"/>
    <numFmt numFmtId="193" formatCode="0.000000"/>
    <numFmt numFmtId="194" formatCode="0.00000"/>
    <numFmt numFmtId="195" formatCode="0.0000E+00"/>
    <numFmt numFmtId="196" formatCode="0.000E+00"/>
    <numFmt numFmtId="197" formatCode="0.0E+00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"/>
    <numFmt numFmtId="209" formatCode="0.000000000"/>
    <numFmt numFmtId="210" formatCode="0.0000000000"/>
    <numFmt numFmtId="211" formatCode="0.00000000000"/>
    <numFmt numFmtId="212" formatCode="0.000000000000"/>
    <numFmt numFmtId="213" formatCode="0.0000000000000"/>
    <numFmt numFmtId="214" formatCode="_-* #,##0.000000000000000_-;\-* #,##0.000000000000000_-;_-* &quot;-&quot;_-;_-@_-"/>
    <numFmt numFmtId="215" formatCode="#,##0.0"/>
    <numFmt numFmtId="216" formatCode="0.0;[Red]0.0"/>
    <numFmt numFmtId="217" formatCode="#,##0.0;[Red]\-#,##0.0"/>
    <numFmt numFmtId="218" formatCode="_-* #,##0.0_-;\-* #,##0.0_-;_-* &quot;-&quot;?_-;_-@_-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  <numFmt numFmtId="223" formatCode="_-* #,##0.0_-;\-* #,##0.0_-;_-* &quot;-&quot;??_-;_-@_-"/>
    <numFmt numFmtId="224" formatCode="0.0_ ;\-0.0\ "/>
    <numFmt numFmtId="225" formatCode="_-* #,##0_-;\-* #,##0_-;_-* &quot;-&quot;??_-;_-@_-"/>
    <numFmt numFmtId="226" formatCode="0.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i/>
      <sz val="7"/>
      <name val="Arial"/>
      <family val="2"/>
    </font>
    <font>
      <sz val="11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72" fontId="8" fillId="0" borderId="1" xfId="18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21" applyFont="1">
      <alignment/>
      <protection/>
    </xf>
    <xf numFmtId="0" fontId="7" fillId="0" borderId="0" xfId="20" applyFont="1">
      <alignment/>
      <protection/>
    </xf>
    <xf numFmtId="0" fontId="7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41" fontId="0" fillId="0" borderId="0" xfId="21" applyNumberFormat="1" applyFont="1">
      <alignment/>
      <protection/>
    </xf>
    <xf numFmtId="41" fontId="7" fillId="0" borderId="0" xfId="18" applyFont="1" applyAlignment="1">
      <alignment horizontal="right"/>
    </xf>
    <xf numFmtId="0" fontId="1" fillId="0" borderId="0" xfId="21" applyFont="1">
      <alignment/>
      <protection/>
    </xf>
    <xf numFmtId="173" fontId="7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2" applyFont="1">
      <alignment/>
      <protection/>
    </xf>
    <xf numFmtId="3" fontId="7" fillId="0" borderId="0" xfId="21" applyNumberFormat="1" applyFont="1">
      <alignment/>
      <protection/>
    </xf>
    <xf numFmtId="20" fontId="7" fillId="0" borderId="0" xfId="21" applyNumberFormat="1" applyFont="1">
      <alignment/>
      <protection/>
    </xf>
    <xf numFmtId="0" fontId="7" fillId="0" borderId="0" xfId="21" applyNumberFormat="1" applyFont="1">
      <alignment/>
      <protection/>
    </xf>
    <xf numFmtId="46" fontId="7" fillId="0" borderId="0" xfId="21" applyNumberFormat="1" applyFont="1">
      <alignment/>
      <protection/>
    </xf>
    <xf numFmtId="0" fontId="7" fillId="0" borderId="0" xfId="0" applyFont="1" applyAlignment="1">
      <alignment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0" borderId="0" xfId="22" applyFont="1">
      <alignment/>
      <protection/>
    </xf>
    <xf numFmtId="0" fontId="7" fillId="0" borderId="1" xfId="22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1" fontId="7" fillId="0" borderId="0" xfId="22" applyNumberFormat="1" applyFont="1">
      <alignment/>
      <protection/>
    </xf>
    <xf numFmtId="173" fontId="8" fillId="0" borderId="0" xfId="22" applyNumberFormat="1" applyFont="1" applyBorder="1">
      <alignment/>
      <protection/>
    </xf>
    <xf numFmtId="49" fontId="7" fillId="0" borderId="0" xfId="22" applyNumberFormat="1" applyFont="1" applyBorder="1">
      <alignment/>
      <protection/>
    </xf>
    <xf numFmtId="49" fontId="8" fillId="0" borderId="0" xfId="22" applyNumberFormat="1" applyFont="1" applyBorder="1">
      <alignment/>
      <protection/>
    </xf>
    <xf numFmtId="1" fontId="8" fillId="0" borderId="0" xfId="22" applyNumberFormat="1" applyFont="1">
      <alignment/>
      <protection/>
    </xf>
    <xf numFmtId="49" fontId="7" fillId="0" borderId="0" xfId="22" applyNumberFormat="1" applyFont="1">
      <alignment/>
      <protection/>
    </xf>
    <xf numFmtId="49" fontId="8" fillId="0" borderId="0" xfId="22" applyNumberFormat="1" applyFont="1">
      <alignment/>
      <protection/>
    </xf>
    <xf numFmtId="173" fontId="7" fillId="0" borderId="0" xfId="22" applyNumberFormat="1" applyFont="1" applyBorder="1">
      <alignment/>
      <protection/>
    </xf>
    <xf numFmtId="41" fontId="0" fillId="0" borderId="1" xfId="18" applyFont="1" applyBorder="1" applyAlignment="1">
      <alignment horizontal="right"/>
    </xf>
    <xf numFmtId="172" fontId="7" fillId="0" borderId="0" xfId="18" applyNumberFormat="1" applyFont="1" applyAlignment="1">
      <alignment horizontal="right"/>
    </xf>
    <xf numFmtId="172" fontId="7" fillId="0" borderId="0" xfId="20" applyNumberFormat="1" applyFont="1">
      <alignment/>
      <protection/>
    </xf>
    <xf numFmtId="173" fontId="7" fillId="0" borderId="0" xfId="21" applyNumberFormat="1" applyFont="1" applyAlignment="1" quotePrefix="1">
      <alignment horizontal="right"/>
      <protection/>
    </xf>
    <xf numFmtId="0" fontId="0" fillId="0" borderId="0" xfId="21" applyNumberFormat="1" applyFont="1">
      <alignment/>
      <protection/>
    </xf>
    <xf numFmtId="0" fontId="7" fillId="0" borderId="0" xfId="22" applyNumberFormat="1" applyFont="1">
      <alignment/>
      <protection/>
    </xf>
    <xf numFmtId="0" fontId="6" fillId="0" borderId="1" xfId="21" applyFont="1" applyBorder="1" applyAlignment="1">
      <alignment vertical="center"/>
      <protection/>
    </xf>
    <xf numFmtId="0" fontId="7" fillId="0" borderId="0" xfId="21" applyNumberFormat="1" applyFont="1" applyAlignment="1">
      <alignment/>
      <protection/>
    </xf>
    <xf numFmtId="0" fontId="8" fillId="0" borderId="1" xfId="22" applyFont="1" applyBorder="1">
      <alignment/>
      <protection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 quotePrefix="1">
      <alignment/>
    </xf>
    <xf numFmtId="3" fontId="7" fillId="0" borderId="0" xfId="22" applyNumberFormat="1" applyFont="1" applyAlignment="1">
      <alignment horizontal="right"/>
      <protection/>
    </xf>
    <xf numFmtId="3" fontId="8" fillId="0" borderId="1" xfId="0" applyNumberFormat="1" applyFont="1" applyBorder="1" applyAlignment="1" quotePrefix="1">
      <alignment horizontal="right"/>
    </xf>
    <xf numFmtId="0" fontId="9" fillId="0" borderId="0" xfId="22" applyNumberFormat="1" applyFont="1" applyBorder="1" applyAlignment="1">
      <alignment horizontal="center"/>
      <protection/>
    </xf>
    <xf numFmtId="0" fontId="6" fillId="0" borderId="0" xfId="22" applyNumberFormat="1" applyFont="1" applyBorder="1" applyAlignment="1">
      <alignment horizontal="centerContinuous"/>
      <protection/>
    </xf>
    <xf numFmtId="0" fontId="6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6" fillId="0" borderId="2" xfId="22" applyNumberFormat="1" applyFont="1" applyBorder="1">
      <alignment/>
      <protection/>
    </xf>
    <xf numFmtId="172" fontId="7" fillId="0" borderId="0" xfId="18" applyNumberFormat="1" applyFont="1" applyAlignment="1" applyProtection="1">
      <alignment horizontal="right"/>
      <protection locked="0"/>
    </xf>
    <xf numFmtId="172" fontId="8" fillId="0" borderId="1" xfId="18" applyNumberFormat="1" applyFont="1" applyBorder="1" applyAlignment="1" applyProtection="1">
      <alignment/>
      <protection locked="0"/>
    </xf>
    <xf numFmtId="172" fontId="8" fillId="0" borderId="0" xfId="18" applyNumberFormat="1" applyFont="1" applyBorder="1" applyAlignment="1" applyProtection="1">
      <alignment horizontal="right"/>
      <protection locked="0"/>
    </xf>
    <xf numFmtId="176" fontId="7" fillId="0" borderId="0" xfId="22" applyNumberFormat="1" applyFont="1" applyProtection="1">
      <alignment/>
      <protection locked="0"/>
    </xf>
    <xf numFmtId="0" fontId="4" fillId="0" borderId="1" xfId="22" applyFont="1" applyBorder="1">
      <alignment/>
      <protection/>
    </xf>
    <xf numFmtId="0" fontId="7" fillId="0" borderId="1" xfId="22" applyFont="1" applyBorder="1">
      <alignment/>
      <protection/>
    </xf>
    <xf numFmtId="173" fontId="8" fillId="0" borderId="1" xfId="21" applyNumberFormat="1" applyFont="1" applyBorder="1" applyAlignment="1">
      <alignment horizontal="right"/>
      <protection/>
    </xf>
    <xf numFmtId="176" fontId="8" fillId="0" borderId="1" xfId="22" applyNumberFormat="1" applyFont="1" applyBorder="1" applyProtection="1">
      <alignment/>
      <protection locked="0"/>
    </xf>
    <xf numFmtId="0" fontId="7" fillId="0" borderId="0" xfId="18" applyNumberFormat="1" applyFont="1" applyAlignment="1">
      <alignment horizontal="left"/>
    </xf>
    <xf numFmtId="0" fontId="1" fillId="0" borderId="0" xfId="21" applyNumberFormat="1" applyFont="1">
      <alignment/>
      <protection/>
    </xf>
    <xf numFmtId="0" fontId="0" fillId="0" borderId="0" xfId="21" applyNumberFormat="1" applyFont="1" applyAlignment="1">
      <alignment wrapText="1"/>
      <protection/>
    </xf>
    <xf numFmtId="0" fontId="7" fillId="0" borderId="0" xfId="20" applyNumberFormat="1" applyFont="1" applyAlignment="1">
      <alignment wrapText="1"/>
      <protection/>
    </xf>
    <xf numFmtId="0" fontId="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0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20" fontId="7" fillId="0" borderId="0" xfId="21" applyNumberFormat="1" applyFont="1" applyBorder="1">
      <alignment/>
      <protection/>
    </xf>
    <xf numFmtId="46" fontId="7" fillId="0" borderId="0" xfId="21" applyNumberFormat="1" applyFont="1" applyBorder="1">
      <alignment/>
      <protection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6" fillId="0" borderId="1" xfId="21" applyNumberFormat="1" applyFont="1" applyBorder="1" applyAlignment="1">
      <alignment horizontal="right" vertical="center"/>
      <protection/>
    </xf>
    <xf numFmtId="0" fontId="0" fillId="0" borderId="0" xfId="21" applyNumberFormat="1" applyFont="1" applyBorder="1">
      <alignment/>
      <protection/>
    </xf>
    <xf numFmtId="0" fontId="4" fillId="0" borderId="0" xfId="21" applyNumberFormat="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0" xfId="20" applyFont="1" applyBorder="1">
      <alignment/>
      <protection/>
    </xf>
    <xf numFmtId="0" fontId="6" fillId="0" borderId="2" xfId="21" applyNumberFormat="1" applyFont="1" applyBorder="1" applyAlignment="1">
      <alignment horizontal="centerContinuous" vertical="center"/>
      <protection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8" fillId="0" borderId="1" xfId="22" applyNumberFormat="1" applyFont="1" applyBorder="1" applyAlignment="1">
      <alignment wrapText="1"/>
      <protection/>
    </xf>
    <xf numFmtId="0" fontId="6" fillId="0" borderId="0" xfId="22" applyNumberFormat="1" applyFont="1" applyBorder="1" applyAlignment="1">
      <alignment horizontal="center"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1" xfId="22" applyNumberFormat="1" applyFont="1" applyBorder="1" applyAlignment="1">
      <alignment horizontal="right" vertical="top"/>
      <protection/>
    </xf>
    <xf numFmtId="0" fontId="6" fillId="0" borderId="1" xfId="22" applyNumberFormat="1" applyFont="1" applyBorder="1" applyAlignment="1">
      <alignment horizontal="right"/>
      <protection/>
    </xf>
    <xf numFmtId="3" fontId="7" fillId="0" borderId="0" xfId="0" applyNumberFormat="1" applyFont="1" applyAlignment="1">
      <alignment/>
    </xf>
    <xf numFmtId="0" fontId="8" fillId="0" borderId="0" xfId="22" applyNumberFormat="1" applyFont="1" applyBorder="1" applyAlignment="1">
      <alignment wrapText="1"/>
      <protection/>
    </xf>
    <xf numFmtId="3" fontId="8" fillId="0" borderId="0" xfId="0" applyNumberFormat="1" applyFont="1" applyBorder="1" applyAlignment="1" quotePrefix="1">
      <alignment horizontal="righ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76" fontId="7" fillId="0" borderId="0" xfId="22" applyNumberFormat="1" applyFont="1" applyAlignment="1" applyProtection="1">
      <alignment horizontal="right"/>
      <protection locked="0"/>
    </xf>
    <xf numFmtId="0" fontId="8" fillId="0" borderId="0" xfId="0" applyFont="1" applyBorder="1" applyAlignment="1">
      <alignment wrapText="1"/>
    </xf>
    <xf numFmtId="172" fontId="8" fillId="0" borderId="0" xfId="18" applyNumberFormat="1" applyFont="1" applyBorder="1" applyAlignment="1" applyProtection="1">
      <alignment/>
      <protection locked="0"/>
    </xf>
    <xf numFmtId="176" fontId="8" fillId="0" borderId="0" xfId="22" applyNumberFormat="1" applyFont="1" applyBorder="1" applyProtection="1">
      <alignment/>
      <protection locked="0"/>
    </xf>
    <xf numFmtId="172" fontId="7" fillId="0" borderId="1" xfId="18" applyNumberFormat="1" applyFont="1" applyBorder="1" applyAlignment="1" applyProtection="1">
      <alignment horizontal="right"/>
      <protection locked="0"/>
    </xf>
    <xf numFmtId="176" fontId="7" fillId="0" borderId="1" xfId="22" applyNumberFormat="1" applyFont="1" applyBorder="1" applyProtection="1">
      <alignment/>
      <protection locked="0"/>
    </xf>
    <xf numFmtId="0" fontId="7" fillId="0" borderId="0" xfId="23" applyFont="1">
      <alignment/>
      <protection/>
    </xf>
    <xf numFmtId="0" fontId="4" fillId="0" borderId="0" xfId="22" applyFont="1" applyBorder="1">
      <alignment/>
      <protection/>
    </xf>
    <xf numFmtId="0" fontId="7" fillId="0" borderId="0" xfId="23" applyFont="1" applyBorder="1">
      <alignment/>
      <protection/>
    </xf>
    <xf numFmtId="0" fontId="0" fillId="0" borderId="0" xfId="22" applyFont="1" applyBorder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 applyAlignment="1">
      <alignment horizontal="right"/>
      <protection/>
    </xf>
    <xf numFmtId="41" fontId="7" fillId="0" borderId="0" xfId="18" applyFont="1" applyBorder="1" applyAlignment="1">
      <alignment/>
    </xf>
    <xf numFmtId="3" fontId="7" fillId="0" borderId="0" xfId="23" applyNumberFormat="1" applyFont="1" applyBorder="1">
      <alignment/>
      <protection/>
    </xf>
    <xf numFmtId="41" fontId="7" fillId="0" borderId="0" xfId="18" applyFont="1" applyBorder="1" applyAlignment="1">
      <alignment horizontal="right"/>
    </xf>
    <xf numFmtId="0" fontId="11" fillId="0" borderId="0" xfId="23" applyFont="1" applyBorder="1">
      <alignment/>
      <protection/>
    </xf>
    <xf numFmtId="215" fontId="7" fillId="0" borderId="0" xfId="23" applyNumberFormat="1" applyFont="1" applyBorder="1">
      <alignment/>
      <protection/>
    </xf>
    <xf numFmtId="0" fontId="7" fillId="0" borderId="0" xfId="23" applyFont="1" applyBorder="1" applyAlignment="1">
      <alignment horizontal="left"/>
      <protection/>
    </xf>
    <xf numFmtId="0" fontId="7" fillId="0" borderId="1" xfId="23" applyFont="1" applyBorder="1">
      <alignment/>
      <protection/>
    </xf>
    <xf numFmtId="0" fontId="0" fillId="0" borderId="1" xfId="21" applyFont="1" applyBorder="1">
      <alignment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0" xfId="21" applyFont="1" applyAlignment="1">
      <alignment horizontal="right"/>
      <protection/>
    </xf>
    <xf numFmtId="216" fontId="7" fillId="0" borderId="0" xfId="20" applyNumberFormat="1" applyFont="1" applyBorder="1">
      <alignment/>
      <protection/>
    </xf>
    <xf numFmtId="0" fontId="7" fillId="0" borderId="0" xfId="20" applyFont="1" applyBorder="1" applyAlignment="1" quotePrefix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1" fontId="0" fillId="0" borderId="0" xfId="20" applyNumberFormat="1" applyFont="1" applyBorder="1">
      <alignment/>
      <protection/>
    </xf>
    <xf numFmtId="0" fontId="7" fillId="0" borderId="0" xfId="20" applyNumberFormat="1" applyFont="1">
      <alignment/>
      <protection/>
    </xf>
    <xf numFmtId="0" fontId="4" fillId="0" borderId="0" xfId="21" applyNumberFormat="1" applyFont="1">
      <alignment/>
      <protection/>
    </xf>
    <xf numFmtId="0" fontId="4" fillId="0" borderId="0" xfId="22" applyNumberFormat="1" applyFont="1">
      <alignment/>
      <protection/>
    </xf>
    <xf numFmtId="0" fontId="7" fillId="0" borderId="0" xfId="20" applyNumberFormat="1" applyFont="1" applyBorder="1">
      <alignment/>
      <protection/>
    </xf>
    <xf numFmtId="0" fontId="7" fillId="0" borderId="1" xfId="20" applyNumberFormat="1" applyFont="1" applyBorder="1">
      <alignment/>
      <protection/>
    </xf>
    <xf numFmtId="0" fontId="12" fillId="0" borderId="0" xfId="22" applyNumberFormat="1" applyFont="1">
      <alignment/>
      <protection/>
    </xf>
    <xf numFmtId="41" fontId="8" fillId="0" borderId="0" xfId="18" applyFont="1" applyBorder="1" applyAlignment="1">
      <alignment horizontal="right"/>
    </xf>
    <xf numFmtId="173" fontId="8" fillId="0" borderId="0" xfId="21" applyNumberFormat="1" applyFont="1" applyBorder="1" applyAlignment="1">
      <alignment horizontal="right"/>
      <protection/>
    </xf>
    <xf numFmtId="0" fontId="7" fillId="0" borderId="0" xfId="21" applyNumberFormat="1" applyFont="1" applyBorder="1" applyAlignment="1">
      <alignment wrapText="1"/>
      <protection/>
    </xf>
    <xf numFmtId="0" fontId="7" fillId="0" borderId="0" xfId="20" applyNumberFormat="1" applyFont="1" applyBorder="1" applyAlignment="1">
      <alignment wrapText="1"/>
      <protection/>
    </xf>
    <xf numFmtId="0" fontId="7" fillId="0" borderId="1" xfId="20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22" applyFont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7" fillId="0" borderId="0" xfId="22" applyNumberFormat="1" applyFont="1" applyAlignment="1">
      <alignment horizontal="right"/>
      <protection/>
    </xf>
    <xf numFmtId="49" fontId="7" fillId="0" borderId="0" xfId="22" applyNumberFormat="1" applyFont="1" applyAlignment="1">
      <alignment horizontal="right"/>
      <protection/>
    </xf>
    <xf numFmtId="173" fontId="8" fillId="0" borderId="0" xfId="22" applyNumberFormat="1" applyFont="1">
      <alignment/>
      <protection/>
    </xf>
    <xf numFmtId="173" fontId="8" fillId="0" borderId="0" xfId="22" applyNumberFormat="1" applyFont="1" applyAlignment="1" quotePrefix="1">
      <alignment horizontal="right"/>
      <protection/>
    </xf>
    <xf numFmtId="49" fontId="8" fillId="0" borderId="0" xfId="22" applyNumberFormat="1" applyFont="1" applyAlignment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22" applyNumberFormat="1" applyFont="1" applyAlignment="1">
      <alignment horizontal="right"/>
      <protection/>
    </xf>
    <xf numFmtId="0" fontId="8" fillId="0" borderId="0" xfId="22" applyNumberFormat="1" applyFont="1" applyAlignment="1">
      <alignment horizontal="right"/>
      <protection/>
    </xf>
    <xf numFmtId="0" fontId="8" fillId="0" borderId="0" xfId="22" applyNumberFormat="1" applyFont="1">
      <alignment/>
      <protection/>
    </xf>
    <xf numFmtId="0" fontId="6" fillId="0" borderId="2" xfId="20" applyNumberFormat="1" applyFont="1" applyBorder="1" applyAlignment="1">
      <alignment horizontal="right"/>
      <protection/>
    </xf>
    <xf numFmtId="0" fontId="6" fillId="0" borderId="1" xfId="18" applyNumberFormat="1" applyFont="1" applyBorder="1" applyAlignment="1">
      <alignment horizontal="right"/>
    </xf>
    <xf numFmtId="0" fontId="6" fillId="0" borderId="1" xfId="20" applyNumberFormat="1" applyFont="1" applyBorder="1">
      <alignment/>
      <protection/>
    </xf>
    <xf numFmtId="3" fontId="7" fillId="0" borderId="0" xfId="18" applyNumberFormat="1" applyFont="1" applyBorder="1" applyAlignment="1">
      <alignment horizontal="right"/>
    </xf>
    <xf numFmtId="3" fontId="7" fillId="0" borderId="0" xfId="20" applyNumberFormat="1" applyFont="1">
      <alignment/>
      <protection/>
    </xf>
    <xf numFmtId="3" fontId="7" fillId="0" borderId="0" xfId="21" applyNumberFormat="1" applyFont="1" applyAlignment="1">
      <alignment horizontal="right"/>
      <protection/>
    </xf>
    <xf numFmtId="3" fontId="7" fillId="0" borderId="0" xfId="21" applyNumberFormat="1" applyFont="1" applyAlignment="1" quotePrefix="1">
      <alignment horizontal="right"/>
      <protection/>
    </xf>
    <xf numFmtId="3" fontId="7" fillId="0" borderId="0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0" xfId="21" applyNumberFormat="1" applyFont="1" applyBorder="1" applyAlignment="1">
      <alignment horizontal="right"/>
      <protection/>
    </xf>
    <xf numFmtId="0" fontId="8" fillId="0" borderId="0" xfId="20" applyNumberFormat="1" applyFont="1" applyBorder="1">
      <alignment/>
      <protection/>
    </xf>
    <xf numFmtId="3" fontId="8" fillId="0" borderId="0" xfId="20" applyNumberFormat="1" applyFont="1" applyBorder="1">
      <alignment/>
      <protection/>
    </xf>
    <xf numFmtId="3" fontId="7" fillId="0" borderId="0" xfId="22" applyNumberFormat="1" applyFont="1" applyBorder="1" applyAlignment="1">
      <alignment horizontal="right"/>
      <protection/>
    </xf>
    <xf numFmtId="3" fontId="8" fillId="0" borderId="0" xfId="0" applyNumberFormat="1" applyFont="1" applyAlignment="1">
      <alignment/>
    </xf>
    <xf numFmtId="215" fontId="7" fillId="0" borderId="0" xfId="22" applyNumberFormat="1" applyFont="1">
      <alignment/>
      <protection/>
    </xf>
    <xf numFmtId="215" fontId="7" fillId="0" borderId="0" xfId="22" applyNumberFormat="1" applyFont="1" applyAlignment="1">
      <alignment horizontal="right"/>
      <protection/>
    </xf>
    <xf numFmtId="215" fontId="8" fillId="0" borderId="0" xfId="22" applyNumberFormat="1" applyFont="1">
      <alignment/>
      <protection/>
    </xf>
    <xf numFmtId="0" fontId="8" fillId="0" borderId="0" xfId="20" applyNumberFormat="1" applyFont="1" applyAlignment="1">
      <alignment wrapText="1"/>
      <protection/>
    </xf>
    <xf numFmtId="1" fontId="7" fillId="0" borderId="1" xfId="22" applyNumberFormat="1" applyFont="1" applyBorder="1" applyAlignment="1">
      <alignment horizontal="right"/>
      <protection/>
    </xf>
    <xf numFmtId="49" fontId="7" fillId="0" borderId="1" xfId="22" applyNumberFormat="1" applyFont="1" applyBorder="1" applyAlignment="1">
      <alignment horizontal="right"/>
      <protection/>
    </xf>
    <xf numFmtId="173" fontId="8" fillId="0" borderId="1" xfId="22" applyNumberFormat="1" applyFont="1" applyBorder="1">
      <alignment/>
      <protection/>
    </xf>
    <xf numFmtId="0" fontId="0" fillId="0" borderId="2" xfId="0" applyFont="1" applyBorder="1" applyAlignment="1">
      <alignment/>
    </xf>
    <xf numFmtId="0" fontId="6" fillId="0" borderId="1" xfId="22" applyFont="1" applyBorder="1" applyAlignment="1">
      <alignment horizontal="right" vertical="top"/>
      <protection/>
    </xf>
    <xf numFmtId="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24" applyFont="1">
      <alignment/>
      <protection/>
    </xf>
    <xf numFmtId="0" fontId="6" fillId="0" borderId="0" xfId="24" applyFont="1" applyAlignment="1">
      <alignment vertical="top" wrapText="1"/>
      <protection/>
    </xf>
    <xf numFmtId="0" fontId="4" fillId="0" borderId="0" xfId="24" applyNumberFormat="1" applyFont="1" applyAlignment="1">
      <alignment horizontal="left" vertical="center"/>
      <protection/>
    </xf>
    <xf numFmtId="0" fontId="0" fillId="0" borderId="0" xfId="24" applyFont="1">
      <alignment/>
      <protection/>
    </xf>
    <xf numFmtId="0" fontId="0" fillId="0" borderId="0" xfId="24" applyNumberFormat="1" applyFont="1" applyAlignment="1">
      <alignment horizontal="left" vertical="center"/>
      <protection/>
    </xf>
    <xf numFmtId="38" fontId="0" fillId="0" borderId="0" xfId="19" applyFont="1" applyAlignment="1">
      <alignment vertical="center"/>
    </xf>
    <xf numFmtId="0" fontId="0" fillId="0" borderId="0" xfId="24" applyFont="1" applyAlignment="1">
      <alignment vertical="center"/>
      <protection/>
    </xf>
    <xf numFmtId="0" fontId="0" fillId="0" borderId="0" xfId="24" applyNumberFormat="1" applyFont="1" applyAlignment="1">
      <alignment horizontal="left"/>
      <protection/>
    </xf>
    <xf numFmtId="0" fontId="16" fillId="0" borderId="0" xfId="24" applyNumberFormat="1" applyFont="1" applyAlignment="1">
      <alignment horizontal="left" vertical="center"/>
      <protection/>
    </xf>
    <xf numFmtId="0" fontId="0" fillId="0" borderId="0" xfId="24" applyFont="1" applyAlignment="1">
      <alignment vertical="top" wrapText="1"/>
      <protection/>
    </xf>
    <xf numFmtId="0" fontId="7" fillId="0" borderId="0" xfId="24" applyNumberFormat="1" applyFont="1" applyBorder="1" applyAlignment="1">
      <alignment horizontal="left" vertical="center" wrapText="1"/>
      <protection/>
    </xf>
    <xf numFmtId="38" fontId="7" fillId="0" borderId="0" xfId="19" applyFont="1" applyBorder="1" applyAlignment="1" quotePrefix="1">
      <alignment horizontal="right" vertical="center" wrapText="1"/>
    </xf>
    <xf numFmtId="0" fontId="7" fillId="0" borderId="0" xfId="24" applyFont="1" applyBorder="1" applyAlignment="1" quotePrefix="1">
      <alignment horizontal="right" vertical="center" wrapText="1"/>
      <protection/>
    </xf>
    <xf numFmtId="0" fontId="0" fillId="0" borderId="0" xfId="24" applyFont="1" applyBorder="1">
      <alignment/>
      <protection/>
    </xf>
    <xf numFmtId="0" fontId="7" fillId="0" borderId="0" xfId="24" applyNumberFormat="1" applyFont="1" applyAlignment="1">
      <alignment horizontal="left" vertical="center"/>
      <protection/>
    </xf>
    <xf numFmtId="0" fontId="7" fillId="0" borderId="0" xfId="0" applyNumberFormat="1" applyFont="1" applyAlignment="1">
      <alignment horizontal="left"/>
    </xf>
    <xf numFmtId="38" fontId="7" fillId="0" borderId="0" xfId="19" applyFont="1" applyAlignment="1">
      <alignment vertical="center"/>
    </xf>
    <xf numFmtId="173" fontId="7" fillId="0" borderId="0" xfId="24" applyNumberFormat="1" applyFont="1" applyAlignment="1">
      <alignment vertical="center"/>
      <protection/>
    </xf>
    <xf numFmtId="0" fontId="8" fillId="0" borderId="0" xfId="0" applyNumberFormat="1" applyFont="1" applyAlignment="1">
      <alignment horizontal="left"/>
    </xf>
    <xf numFmtId="0" fontId="7" fillId="0" borderId="0" xfId="24" applyNumberFormat="1" applyFont="1" applyAlignment="1">
      <alignment horizontal="left" vertical="center" wrapText="1"/>
      <protection/>
    </xf>
    <xf numFmtId="38" fontId="7" fillId="0" borderId="0" xfId="19" applyFont="1" applyAlignment="1" quotePrefix="1">
      <alignment horizontal="right" vertical="center" wrapText="1"/>
    </xf>
    <xf numFmtId="0" fontId="7" fillId="0" borderId="0" xfId="24" applyFont="1" applyAlignment="1" quotePrefix="1">
      <alignment horizontal="right" vertical="center" wrapText="1"/>
      <protection/>
    </xf>
    <xf numFmtId="173" fontId="0" fillId="0" borderId="0" xfId="24" applyNumberFormat="1" applyFont="1">
      <alignment/>
      <protection/>
    </xf>
    <xf numFmtId="0" fontId="7" fillId="0" borderId="1" xfId="24" applyNumberFormat="1" applyFont="1" applyBorder="1" applyAlignment="1">
      <alignment horizontal="left" vertical="center"/>
      <protection/>
    </xf>
    <xf numFmtId="0" fontId="0" fillId="0" borderId="1" xfId="24" applyFont="1" applyBorder="1">
      <alignment/>
      <protection/>
    </xf>
    <xf numFmtId="0" fontId="0" fillId="0" borderId="1" xfId="24" applyNumberFormat="1" applyFont="1" applyBorder="1" applyAlignment="1">
      <alignment horizontal="left"/>
      <protection/>
    </xf>
    <xf numFmtId="38" fontId="6" fillId="0" borderId="3" xfId="19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3" xfId="24" applyFont="1" applyBorder="1" applyAlignment="1">
      <alignment horizontal="right" vertical="top" wrapText="1"/>
      <protection/>
    </xf>
    <xf numFmtId="0" fontId="0" fillId="0" borderId="3" xfId="24" applyFont="1" applyBorder="1" applyAlignment="1">
      <alignment horizontal="right" vertical="top"/>
      <protection/>
    </xf>
    <xf numFmtId="0" fontId="0" fillId="0" borderId="1" xfId="24" applyNumberFormat="1" applyFont="1" applyBorder="1" applyAlignment="1">
      <alignment horizontal="left" vertical="center"/>
      <protection/>
    </xf>
    <xf numFmtId="38" fontId="0" fillId="0" borderId="1" xfId="19" applyFont="1" applyBorder="1" applyAlignment="1">
      <alignment vertical="center"/>
    </xf>
    <xf numFmtId="0" fontId="0" fillId="0" borderId="1" xfId="24" applyFont="1" applyBorder="1" applyAlignment="1">
      <alignment vertical="center"/>
      <protection/>
    </xf>
    <xf numFmtId="173" fontId="7" fillId="0" borderId="1" xfId="24" applyNumberFormat="1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41" fontId="4" fillId="0" borderId="0" xfId="18" applyFont="1" applyBorder="1" applyAlignment="1">
      <alignment/>
    </xf>
    <xf numFmtId="41" fontId="5" fillId="0" borderId="0" xfId="18" applyFont="1" applyBorder="1" applyAlignment="1">
      <alignment/>
    </xf>
    <xf numFmtId="41" fontId="0" fillId="0" borderId="0" xfId="18" applyFont="1" applyBorder="1" applyAlignment="1">
      <alignment/>
    </xf>
    <xf numFmtId="41" fontId="9" fillId="0" borderId="0" xfId="18" applyFont="1" applyBorder="1" applyAlignment="1">
      <alignment/>
    </xf>
    <xf numFmtId="41" fontId="6" fillId="0" borderId="0" xfId="18" applyFont="1" applyBorder="1" applyAlignment="1">
      <alignment/>
    </xf>
    <xf numFmtId="174" fontId="7" fillId="0" borderId="0" xfId="18" applyNumberFormat="1" applyFont="1" applyBorder="1" applyAlignment="1">
      <alignment/>
    </xf>
    <xf numFmtId="41" fontId="11" fillId="0" borderId="0" xfId="18" applyFont="1" applyBorder="1" applyAlignment="1">
      <alignment/>
    </xf>
    <xf numFmtId="41" fontId="8" fillId="0" borderId="0" xfId="18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/>
    </xf>
    <xf numFmtId="0" fontId="8" fillId="0" borderId="1" xfId="0" applyNumberFormat="1" applyFont="1" applyBorder="1" applyAlignment="1">
      <alignment/>
    </xf>
    <xf numFmtId="41" fontId="6" fillId="0" borderId="0" xfId="18" applyFont="1" applyBorder="1" applyAlignment="1">
      <alignment horizontal="left"/>
    </xf>
    <xf numFmtId="172" fontId="7" fillId="0" borderId="0" xfId="19" applyNumberFormat="1" applyFont="1" applyAlignment="1">
      <alignment vertical="center"/>
    </xf>
    <xf numFmtId="172" fontId="7" fillId="0" borderId="1" xfId="19" applyNumberFormat="1" applyFont="1" applyBorder="1" applyAlignment="1">
      <alignment vertical="center"/>
    </xf>
    <xf numFmtId="172" fontId="7" fillId="0" borderId="0" xfId="24" applyNumberFormat="1" applyFont="1" applyAlignment="1">
      <alignment horizontal="right" vertical="center"/>
      <protection/>
    </xf>
    <xf numFmtId="172" fontId="8" fillId="0" borderId="0" xfId="19" applyNumberFormat="1" applyFont="1" applyAlignment="1">
      <alignment horizontal="right" vertical="center"/>
    </xf>
    <xf numFmtId="216" fontId="7" fillId="0" borderId="0" xfId="24" applyNumberFormat="1" applyFont="1" applyAlignment="1">
      <alignment vertical="center"/>
      <protection/>
    </xf>
    <xf numFmtId="216" fontId="7" fillId="0" borderId="0" xfId="24" applyNumberFormat="1" applyFont="1" applyAlignment="1" quotePrefix="1">
      <alignment horizontal="right" vertical="center" wrapText="1"/>
      <protection/>
    </xf>
    <xf numFmtId="216" fontId="8" fillId="0" borderId="0" xfId="19" applyNumberFormat="1" applyFont="1" applyAlignment="1">
      <alignment horizontal="right" vertical="center"/>
    </xf>
    <xf numFmtId="41" fontId="6" fillId="0" borderId="2" xfId="18" applyFont="1" applyBorder="1" applyAlignment="1">
      <alignment/>
    </xf>
    <xf numFmtId="41" fontId="6" fillId="0" borderId="1" xfId="18" applyFont="1" applyBorder="1" applyAlignment="1">
      <alignment/>
    </xf>
    <xf numFmtId="41" fontId="7" fillId="0" borderId="1" xfId="18" applyFont="1" applyBorder="1" applyAlignment="1">
      <alignment/>
    </xf>
    <xf numFmtId="41" fontId="6" fillId="0" borderId="2" xfId="18" applyFont="1" applyBorder="1" applyAlignment="1">
      <alignment horizontal="right"/>
    </xf>
    <xf numFmtId="41" fontId="6" fillId="0" borderId="1" xfId="18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216" fontId="7" fillId="0" borderId="0" xfId="0" applyNumberFormat="1" applyFont="1" applyAlignment="1">
      <alignment/>
    </xf>
    <xf numFmtId="216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174" fontId="7" fillId="0" borderId="0" xfId="18" applyNumberFormat="1" applyFont="1" applyBorder="1" applyAlignment="1">
      <alignment horizontal="right"/>
    </xf>
    <xf numFmtId="174" fontId="7" fillId="0" borderId="0" xfId="18" applyNumberFormat="1" applyFont="1" applyBorder="1" applyAlignment="1">
      <alignment/>
    </xf>
    <xf numFmtId="41" fontId="7" fillId="0" borderId="0" xfId="18" applyFont="1" applyAlignment="1">
      <alignment horizontal="left"/>
    </xf>
    <xf numFmtId="0" fontId="6" fillId="0" borderId="3" xfId="24" applyNumberFormat="1" applyFont="1" applyBorder="1" applyAlignment="1">
      <alignment horizontal="left" vertical="center" wrapText="1"/>
      <protection/>
    </xf>
    <xf numFmtId="172" fontId="7" fillId="0" borderId="0" xfId="24" applyNumberFormat="1" applyFont="1" applyBorder="1" applyAlignment="1">
      <alignment horizontal="right" vertical="center"/>
      <protection/>
    </xf>
    <xf numFmtId="172" fontId="8" fillId="0" borderId="0" xfId="19" applyNumberFormat="1" applyFont="1" applyBorder="1" applyAlignment="1">
      <alignment horizontal="right" vertical="center"/>
    </xf>
    <xf numFmtId="172" fontId="0" fillId="0" borderId="1" xfId="19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/>
    </xf>
    <xf numFmtId="3" fontId="8" fillId="0" borderId="0" xfId="18" applyNumberFormat="1" applyFont="1" applyAlignment="1">
      <alignment/>
    </xf>
    <xf numFmtId="0" fontId="4" fillId="0" borderId="0" xfId="0" applyFont="1" applyAlignment="1">
      <alignment horizontal="right"/>
    </xf>
    <xf numFmtId="3" fontId="8" fillId="0" borderId="0" xfId="18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0" fontId="6" fillId="0" borderId="2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18" applyNumberFormat="1" applyFont="1" applyBorder="1" applyAlignment="1">
      <alignment/>
    </xf>
    <xf numFmtId="0" fontId="4" fillId="0" borderId="0" xfId="18" applyNumberFormat="1" applyFont="1" applyBorder="1" applyAlignment="1">
      <alignment/>
    </xf>
    <xf numFmtId="0" fontId="9" fillId="0" borderId="0" xfId="18" applyNumberFormat="1" applyFont="1" applyBorder="1" applyAlignment="1">
      <alignment/>
    </xf>
    <xf numFmtId="0" fontId="6" fillId="0" borderId="2" xfId="18" applyNumberFormat="1" applyFont="1" applyBorder="1" applyAlignment="1">
      <alignment/>
    </xf>
    <xf numFmtId="0" fontId="6" fillId="0" borderId="1" xfId="18" applyNumberFormat="1" applyFont="1" applyBorder="1" applyAlignment="1">
      <alignment/>
    </xf>
    <xf numFmtId="0" fontId="6" fillId="0" borderId="0" xfId="18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1" xfId="18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2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173" fontId="7" fillId="0" borderId="0" xfId="18" applyNumberFormat="1" applyFont="1" applyBorder="1" applyAlignment="1">
      <alignment/>
    </xf>
    <xf numFmtId="174" fontId="7" fillId="0" borderId="1" xfId="18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0" fontId="17" fillId="0" borderId="0" xfId="18" applyNumberFormat="1" applyFont="1" applyBorder="1" applyAlignment="1">
      <alignment/>
    </xf>
    <xf numFmtId="0" fontId="8" fillId="0" borderId="0" xfId="18" applyNumberFormat="1" applyFont="1" applyBorder="1" applyAlignment="1">
      <alignment/>
    </xf>
    <xf numFmtId="0" fontId="11" fillId="0" borderId="0" xfId="18" applyNumberFormat="1" applyFont="1" applyBorder="1" applyAlignment="1">
      <alignment/>
    </xf>
    <xf numFmtId="216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7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74" fontId="8" fillId="0" borderId="0" xfId="18" applyNumberFormat="1" applyFont="1" applyBorder="1" applyAlignment="1">
      <alignment horizontal="right"/>
    </xf>
    <xf numFmtId="174" fontId="8" fillId="0" borderId="0" xfId="18" applyNumberFormat="1" applyFont="1" applyBorder="1" applyAlignment="1">
      <alignment/>
    </xf>
    <xf numFmtId="0" fontId="18" fillId="0" borderId="0" xfId="22" applyFont="1">
      <alignment/>
      <protection/>
    </xf>
    <xf numFmtId="0" fontId="6" fillId="0" borderId="0" xfId="0" applyFont="1" applyBorder="1" applyAlignment="1">
      <alignment vertical="center"/>
    </xf>
    <xf numFmtId="0" fontId="6" fillId="0" borderId="0" xfId="21" applyFont="1" applyBorder="1" applyAlignment="1">
      <alignment vertical="center"/>
      <protection/>
    </xf>
    <xf numFmtId="0" fontId="6" fillId="0" borderId="0" xfId="21" applyNumberFormat="1" applyFont="1" applyBorder="1" applyAlignment="1">
      <alignment horizontal="right" vertical="center"/>
      <protection/>
    </xf>
    <xf numFmtId="0" fontId="6" fillId="0" borderId="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7" fillId="0" borderId="0" xfId="20" applyNumberFormat="1" applyFont="1" applyAlignment="1">
      <alignment/>
      <protection/>
    </xf>
    <xf numFmtId="49" fontId="7" fillId="0" borderId="0" xfId="20" applyNumberFormat="1" applyFont="1" applyAlignment="1">
      <alignment vertical="center" wrapText="1"/>
      <protection/>
    </xf>
    <xf numFmtId="49" fontId="7" fillId="0" borderId="0" xfId="21" applyNumberFormat="1" applyFont="1" applyAlignment="1">
      <alignment vertical="center"/>
      <protection/>
    </xf>
    <xf numFmtId="49" fontId="7" fillId="0" borderId="0" xfId="0" applyNumberFormat="1" applyFont="1" applyAlignment="1">
      <alignment vertical="center"/>
    </xf>
    <xf numFmtId="49" fontId="7" fillId="0" borderId="0" xfId="20" applyNumberFormat="1" applyFont="1" applyAlignment="1">
      <alignment/>
      <protection/>
    </xf>
    <xf numFmtId="49" fontId="7" fillId="0" borderId="0" xfId="0" applyNumberFormat="1" applyFont="1" applyAlignment="1">
      <alignment vertical="center" wrapText="1"/>
    </xf>
    <xf numFmtId="49" fontId="7" fillId="0" borderId="0" xfId="21" applyNumberFormat="1" applyFont="1" applyAlignment="1">
      <alignment vertical="center" wrapText="1"/>
      <protection/>
    </xf>
    <xf numFmtId="49" fontId="7" fillId="0" borderId="0" xfId="21" applyNumberFormat="1" applyFont="1" applyAlignment="1">
      <alignment/>
      <protection/>
    </xf>
    <xf numFmtId="49" fontId="7" fillId="0" borderId="1" xfId="21" applyNumberFormat="1" applyFont="1" applyBorder="1" applyAlignment="1">
      <alignment vertical="center"/>
      <protection/>
    </xf>
    <xf numFmtId="49" fontId="7" fillId="0" borderId="1" xfId="0" applyNumberFormat="1" applyFont="1" applyBorder="1" applyAlignment="1">
      <alignment vertical="center" wrapText="1"/>
    </xf>
    <xf numFmtId="172" fontId="8" fillId="0" borderId="0" xfId="18" applyNumberFormat="1" applyFont="1" applyBorder="1" applyAlignment="1">
      <alignment horizontal="right"/>
    </xf>
    <xf numFmtId="41" fontId="0" fillId="0" borderId="0" xfId="18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21" applyNumberFormat="1" applyFont="1" applyBorder="1" applyAlignment="1">
      <alignment/>
      <protection/>
    </xf>
    <xf numFmtId="0" fontId="20" fillId="0" borderId="1" xfId="0" applyFont="1" applyBorder="1" applyAlignment="1">
      <alignment/>
    </xf>
    <xf numFmtId="0" fontId="7" fillId="0" borderId="0" xfId="20" applyNumberFormat="1" applyFont="1" applyAlignment="1">
      <alignment vertical="center"/>
      <protection/>
    </xf>
    <xf numFmtId="0" fontId="7" fillId="0" borderId="0" xfId="21" applyNumberFormat="1" applyFont="1" applyBorder="1" applyAlignment="1">
      <alignment vertical="center"/>
      <protection/>
    </xf>
    <xf numFmtId="0" fontId="7" fillId="0" borderId="0" xfId="20" applyNumberFormat="1" applyFont="1" applyAlignment="1">
      <alignment vertical="center" wrapText="1"/>
      <protection/>
    </xf>
    <xf numFmtId="0" fontId="7" fillId="0" borderId="0" xfId="21" applyNumberFormat="1" applyFont="1" applyBorder="1" applyAlignment="1">
      <alignment/>
      <protection/>
    </xf>
    <xf numFmtId="0" fontId="7" fillId="0" borderId="0" xfId="20" applyNumberFormat="1" applyFont="1" applyBorder="1" applyAlignment="1">
      <alignment vertical="center"/>
      <protection/>
    </xf>
    <xf numFmtId="49" fontId="8" fillId="0" borderId="0" xfId="21" applyNumberFormat="1" applyFont="1" applyBorder="1" applyAlignment="1">
      <alignment vertical="center"/>
      <protection/>
    </xf>
    <xf numFmtId="49" fontId="8" fillId="0" borderId="0" xfId="0" applyNumberFormat="1" applyFont="1" applyBorder="1" applyAlignment="1">
      <alignment vertical="center" wrapText="1"/>
    </xf>
    <xf numFmtId="0" fontId="4" fillId="0" borderId="0" xfId="21" applyNumberFormat="1" applyFont="1" applyAlignment="1">
      <alignment horizontal="left"/>
      <protection/>
    </xf>
    <xf numFmtId="41" fontId="7" fillId="0" borderId="0" xfId="18" applyFont="1" applyAlignment="1">
      <alignment/>
    </xf>
    <xf numFmtId="173" fontId="7" fillId="0" borderId="0" xfId="22" applyNumberFormat="1" applyFont="1">
      <alignment/>
      <protection/>
    </xf>
    <xf numFmtId="41" fontId="7" fillId="0" borderId="0" xfId="18" applyFont="1" applyAlignment="1" applyProtection="1">
      <alignment horizontal="right"/>
      <protection locked="0"/>
    </xf>
    <xf numFmtId="41" fontId="8" fillId="0" borderId="0" xfId="18" applyFont="1" applyAlignment="1">
      <alignment/>
    </xf>
    <xf numFmtId="0" fontId="6" fillId="0" borderId="3" xfId="0" applyFont="1" applyBorder="1" applyAlignment="1">
      <alignment horizontal="right" vertical="top"/>
    </xf>
    <xf numFmtId="3" fontId="7" fillId="0" borderId="0" xfId="18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174" fontId="11" fillId="0" borderId="0" xfId="18" applyNumberFormat="1" applyFont="1" applyBorder="1" applyAlignment="1">
      <alignment/>
    </xf>
    <xf numFmtId="178" fontId="7" fillId="0" borderId="0" xfId="18" applyNumberFormat="1" applyFont="1" applyBorder="1" applyAlignment="1">
      <alignment/>
    </xf>
    <xf numFmtId="41" fontId="11" fillId="0" borderId="0" xfId="18" applyFont="1" applyAlignment="1">
      <alignment/>
    </xf>
    <xf numFmtId="174" fontId="8" fillId="0" borderId="0" xfId="18" applyNumberFormat="1" applyFont="1" applyAlignment="1">
      <alignment/>
    </xf>
    <xf numFmtId="3" fontId="7" fillId="0" borderId="0" xfId="18" applyNumberFormat="1" applyFont="1" applyBorder="1" applyAlignment="1" quotePrefix="1">
      <alignment horizontal="right"/>
    </xf>
    <xf numFmtId="3" fontId="8" fillId="0" borderId="0" xfId="22" applyNumberFormat="1" applyFont="1" applyBorder="1" applyAlignment="1">
      <alignment horizontal="right"/>
      <protection/>
    </xf>
    <xf numFmtId="225" fontId="7" fillId="0" borderId="0" xfId="17" applyNumberFormat="1" applyFont="1" applyAlignment="1">
      <alignment vertical="center"/>
    </xf>
    <xf numFmtId="225" fontId="7" fillId="0" borderId="0" xfId="17" applyNumberFormat="1" applyFont="1" applyAlignment="1">
      <alignment horizontal="right" vertical="center"/>
    </xf>
    <xf numFmtId="225" fontId="8" fillId="0" borderId="0" xfId="17" applyNumberFormat="1" applyFont="1" applyAlignment="1">
      <alignment horizontal="right" vertical="center"/>
    </xf>
    <xf numFmtId="225" fontId="7" fillId="0" borderId="0" xfId="17" applyNumberFormat="1" applyFont="1" applyBorder="1" applyAlignment="1">
      <alignment horizontal="right" vertical="center"/>
    </xf>
    <xf numFmtId="225" fontId="8" fillId="0" borderId="0" xfId="17" applyNumberFormat="1" applyFont="1" applyBorder="1" applyAlignment="1">
      <alignment horizontal="right" vertical="center"/>
    </xf>
    <xf numFmtId="0" fontId="6" fillId="0" borderId="3" xfId="21" applyNumberFormat="1" applyFont="1" applyBorder="1" applyAlignment="1">
      <alignment horizontal="right" vertical="center"/>
      <protection/>
    </xf>
    <xf numFmtId="0" fontId="6" fillId="0" borderId="3" xfId="21" applyFont="1" applyBorder="1">
      <alignment/>
      <protection/>
    </xf>
    <xf numFmtId="41" fontId="7" fillId="0" borderId="0" xfId="18" applyNumberFormat="1" applyFont="1" applyBorder="1" applyAlignment="1">
      <alignment/>
    </xf>
    <xf numFmtId="41" fontId="7" fillId="0" borderId="0" xfId="18" applyFont="1" applyBorder="1" applyAlignment="1" quotePrefix="1">
      <alignment horizontal="right"/>
    </xf>
    <xf numFmtId="41" fontId="8" fillId="0" borderId="0" xfId="18" applyFont="1" applyBorder="1" applyAlignment="1">
      <alignment/>
    </xf>
    <xf numFmtId="41" fontId="7" fillId="0" borderId="0" xfId="20" applyNumberFormat="1" applyFont="1" applyBorder="1">
      <alignment/>
      <protection/>
    </xf>
    <xf numFmtId="174" fontId="7" fillId="0" borderId="0" xfId="20" applyNumberFormat="1" applyFont="1" applyBorder="1">
      <alignment/>
      <protection/>
    </xf>
    <xf numFmtId="226" fontId="7" fillId="0" borderId="0" xfId="25" applyNumberFormat="1" applyFont="1" applyBorder="1" applyAlignment="1">
      <alignment/>
    </xf>
    <xf numFmtId="177" fontId="7" fillId="0" borderId="0" xfId="20" applyNumberFormat="1" applyFont="1" applyBorder="1">
      <alignment/>
      <protection/>
    </xf>
    <xf numFmtId="41" fontId="7" fillId="0" borderId="0" xfId="20" applyNumberFormat="1" applyFont="1" applyBorder="1" applyAlignment="1">
      <alignment horizontal="left"/>
      <protection/>
    </xf>
    <xf numFmtId="179" fontId="7" fillId="0" borderId="0" xfId="20" applyNumberFormat="1" applyFont="1">
      <alignment/>
      <protection/>
    </xf>
    <xf numFmtId="0" fontId="6" fillId="0" borderId="1" xfId="0" applyFont="1" applyBorder="1" applyAlignment="1">
      <alignment vertical="center"/>
    </xf>
    <xf numFmtId="0" fontId="7" fillId="0" borderId="0" xfId="21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3" xfId="21" applyNumberFormat="1" applyFont="1" applyBorder="1" applyAlignment="1">
      <alignment horizontal="center" vertical="center"/>
      <protection/>
    </xf>
    <xf numFmtId="0" fontId="4" fillId="0" borderId="0" xfId="21" applyNumberFormat="1" applyFont="1" applyAlignment="1">
      <alignment horizontal="left"/>
      <protection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22" applyNumberFormat="1" applyFont="1" applyBorder="1" applyAlignment="1">
      <alignment horizontal="center"/>
      <protection/>
    </xf>
    <xf numFmtId="0" fontId="6" fillId="0" borderId="0" xfId="22" applyNumberFormat="1" applyFont="1" applyBorder="1" applyAlignment="1">
      <alignment horizontal="right" vertical="top" wrapText="1"/>
      <protection/>
    </xf>
    <xf numFmtId="0" fontId="6" fillId="0" borderId="1" xfId="22" applyNumberFormat="1" applyFont="1" applyBorder="1" applyAlignment="1">
      <alignment horizontal="right" vertical="top" wrapText="1"/>
      <protection/>
    </xf>
    <xf numFmtId="0" fontId="6" fillId="0" borderId="2" xfId="22" applyNumberFormat="1" applyFont="1" applyBorder="1" applyAlignment="1">
      <alignment horizontal="right" vertical="top" wrapText="1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2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3" xfId="21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wrapText="1"/>
      <protection/>
    </xf>
    <xf numFmtId="0" fontId="6" fillId="0" borderId="2" xfId="21" applyNumberFormat="1" applyFont="1" applyBorder="1" applyAlignment="1">
      <alignment vertical="center" wrapText="1"/>
      <protection/>
    </xf>
    <xf numFmtId="0" fontId="6" fillId="0" borderId="1" xfId="21" applyNumberFormat="1" applyFont="1" applyBorder="1" applyAlignment="1">
      <alignment vertical="center" wrapText="1"/>
      <protection/>
    </xf>
    <xf numFmtId="0" fontId="6" fillId="0" borderId="2" xfId="21" applyNumberFormat="1" applyFont="1" applyBorder="1" applyAlignment="1">
      <alignment horizontal="right" vertical="top"/>
      <protection/>
    </xf>
    <xf numFmtId="0" fontId="6" fillId="0" borderId="0" xfId="21" applyNumberFormat="1" applyFont="1" applyBorder="1" applyAlignment="1">
      <alignment horizontal="right" vertical="top"/>
      <protection/>
    </xf>
    <xf numFmtId="0" fontId="6" fillId="0" borderId="1" xfId="21" applyNumberFormat="1" applyFont="1" applyBorder="1" applyAlignment="1">
      <alignment horizontal="right" vertical="top"/>
      <protection/>
    </xf>
    <xf numFmtId="0" fontId="6" fillId="0" borderId="2" xfId="21" applyNumberFormat="1" applyFont="1" applyBorder="1" applyAlignment="1">
      <alignment horizontal="left" vertical="center"/>
      <protection/>
    </xf>
    <xf numFmtId="0" fontId="6" fillId="0" borderId="0" xfId="21" applyNumberFormat="1" applyFont="1" applyBorder="1" applyAlignment="1">
      <alignment horizontal="left" vertical="center"/>
      <protection/>
    </xf>
    <xf numFmtId="0" fontId="6" fillId="0" borderId="1" xfId="21" applyNumberFormat="1" applyFont="1" applyBorder="1" applyAlignment="1">
      <alignment horizontal="left" vertical="center"/>
      <protection/>
    </xf>
    <xf numFmtId="0" fontId="6" fillId="0" borderId="2" xfId="21" applyNumberFormat="1" applyFont="1" applyBorder="1" applyAlignment="1">
      <alignment horizontal="right" vertical="top" wrapText="1"/>
      <protection/>
    </xf>
    <xf numFmtId="0" fontId="6" fillId="0" borderId="0" xfId="21" applyNumberFormat="1" applyFont="1" applyBorder="1" applyAlignment="1">
      <alignment horizontal="right" vertical="top" wrapText="1"/>
      <protection/>
    </xf>
    <xf numFmtId="0" fontId="6" fillId="0" borderId="1" xfId="21" applyNumberFormat="1" applyFont="1" applyBorder="1" applyAlignment="1">
      <alignment horizontal="right" vertical="top" wrapText="1"/>
      <protection/>
    </xf>
    <xf numFmtId="0" fontId="6" fillId="0" borderId="2" xfId="21" applyNumberFormat="1" applyFont="1" applyBorder="1">
      <alignment/>
      <protection/>
    </xf>
    <xf numFmtId="0" fontId="6" fillId="0" borderId="0" xfId="21" applyNumberFormat="1" applyFont="1" applyBorder="1">
      <alignment/>
      <protection/>
    </xf>
    <xf numFmtId="0" fontId="6" fillId="0" borderId="1" xfId="21" applyNumberFormat="1" applyFont="1" applyBorder="1">
      <alignment/>
      <protection/>
    </xf>
    <xf numFmtId="0" fontId="6" fillId="0" borderId="3" xfId="22" applyFont="1" applyBorder="1" applyAlignment="1">
      <alignment horizontal="center" vertical="top"/>
      <protection/>
    </xf>
    <xf numFmtId="0" fontId="6" fillId="0" borderId="3" xfId="22" applyFont="1" applyBorder="1" applyAlignment="1">
      <alignment horizontal="center" wrapText="1"/>
      <protection/>
    </xf>
    <xf numFmtId="0" fontId="4" fillId="0" borderId="0" xfId="24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0" fontId="6" fillId="0" borderId="2" xfId="18" applyNumberFormat="1" applyFont="1" applyBorder="1" applyAlignment="1">
      <alignment horizontal="left" vertical="center"/>
    </xf>
    <xf numFmtId="0" fontId="6" fillId="0" borderId="1" xfId="18" applyNumberFormat="1" applyFont="1" applyBorder="1" applyAlignment="1">
      <alignment horizontal="left" vertical="center"/>
    </xf>
    <xf numFmtId="41" fontId="6" fillId="0" borderId="0" xfId="18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" xfId="21" applyFont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215" fontId="7" fillId="0" borderId="0" xfId="23" applyNumberFormat="1" applyFont="1" applyBorder="1" applyAlignment="1" quotePrefix="1">
      <alignment horizontal="right"/>
      <protection/>
    </xf>
    <xf numFmtId="172" fontId="7" fillId="0" borderId="0" xfId="18" applyNumberFormat="1" applyFont="1" applyAlignment="1">
      <alignment horizontal="right" vertical="center"/>
    </xf>
    <xf numFmtId="41" fontId="7" fillId="0" borderId="0" xfId="18" applyFont="1" applyAlignment="1">
      <alignment horizontal="right" vertical="center"/>
    </xf>
    <xf numFmtId="173" fontId="7" fillId="0" borderId="0" xfId="21" applyNumberFormat="1" applyFont="1" applyAlignment="1">
      <alignment horizontal="right" vertic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Migliaia [0]_Tav7-4" xfId="19"/>
    <cellStyle name="Normale_2000 Società (tabelle CONI))" xfId="20"/>
    <cellStyle name="Normale_tav430" xfId="21"/>
    <cellStyle name="Normale_tav430segbis" xfId="22"/>
    <cellStyle name="Normale_Tav7-1" xfId="23"/>
    <cellStyle name="Normale_Tav7-4" xfId="24"/>
    <cellStyle name="Percent" xfId="25"/>
    <cellStyle name="Currency" xfId="26"/>
    <cellStyle name="Valuta (0)_Tav 1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5105400" cy="1390650"/>
    <xdr:sp>
      <xdr:nvSpPr>
        <xdr:cNvPr id="1" name="TextBox 1"/>
        <xdr:cNvSpPr txBox="1">
          <a:spLocks noChangeArrowheads="1"/>
        </xdr:cNvSpPr>
      </xdr:nvSpPr>
      <xdr:spPr>
        <a:xfrm>
          <a:off x="0" y="3524250"/>
          <a:ext cx="51054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CONI - Comitato Olimpico Nazionale Italiano - Ufficio Documentazione e Informazione.
(a) I dati riguardano un paniere di oltre 500 attività sportive e ricreative, selezionate dalle Federazioni sportive nazionali e dalle discipline associate, sottoposte a un monitoraggio con cadenza biennale, a livello provinciale, dal 1981.
(b) Le discipline associate sono 16 nel 1991, 20 nel 1995 e 25 nel 1997, mentre non erano ancora riconosciute nel 1981.
(c) Non sono inclusi gli "altri nuclei", cioè società aventi scopi particolari o carattere temporaneo, come le società della FICr (cronometristi) e FMSI (medici sportivi) o le società attività ricreativa della FIGC (calcio).
(d) Gli operatori sono coloro che nell'ambito societario o federale contribuiscono all'organizzazione della pratica sportiva e delle relative competizioni. I dati del 1997 si riferiscono specificamente agli operatori territoriali, mentre i dati degli anni precedenti comprendono anche operatori di livello nazionale.
</a:t>
          </a:r>
        </a:p>
      </xdr:txBody>
    </xdr:sp>
    <xdr:clientData/>
  </xdr:oneCellAnchor>
  <xdr:oneCellAnchor>
    <xdr:from>
      <xdr:col>0</xdr:col>
      <xdr:colOff>666750</xdr:colOff>
      <xdr:row>1</xdr:row>
      <xdr:rowOff>0</xdr:rowOff>
    </xdr:from>
    <xdr:ext cx="4391025" cy="361950"/>
    <xdr:sp>
      <xdr:nvSpPr>
        <xdr:cNvPr id="2" name="TextBox 2"/>
        <xdr:cNvSpPr txBox="1">
          <a:spLocks noChangeArrowheads="1"/>
        </xdr:cNvSpPr>
      </xdr:nvSpPr>
      <xdr:spPr>
        <a:xfrm>
          <a:off x="666750" y="123825"/>
          <a:ext cx="439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sportive, operatori e praticanti tesserati delle Federazioni sportive nazionali e delle discipline associate - Anni 1995, 1997 e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66675</xdr:rowOff>
    </xdr:from>
    <xdr:to>
      <xdr:col>8</xdr:col>
      <xdr:colOff>400050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66675"/>
          <a:ext cx="438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le manifestazioni sportive per tipo di comune e provincia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per abitante in lire)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104775</xdr:rowOff>
    </xdr:from>
    <xdr:to>
      <xdr:col>6</xdr:col>
      <xdr:colOff>9525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104775"/>
          <a:ext cx="4352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praticano sport con continuità per sesso, età, titolo di studio e ripartizione geografica - Anni 1997, 1998, 1999 e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7</xdr:col>
      <xdr:colOff>28575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14300"/>
          <a:ext cx="390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assistito a spettacoli sportivi dal vivo nei 12 mesi precedenti l'intervista per sesso, età, titolo di studio e ripartizione geografica - Anni 1995-2000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47625</xdr:rowOff>
    </xdr:from>
    <xdr:to>
      <xdr:col>9</xdr:col>
      <xdr:colOff>0</xdr:colOff>
      <xdr:row>56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657975"/>
          <a:ext cx="4733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Non sono inclusi gli "altri nuclei", cioè società distinte da quelle "effettive" in quanto aventi scopi particolari o carattere temporaneo, come le Società della FICr-Federazione Italiana Cronometristi (109 nel 1995) e della FMSI-Federazione  Medica Sportiva Italiana (88 nel 1995), o le società attività ricreativa della FIGC (calcio).
(b) Le sigle e le denominazioni delle Federazioni Sportive Nazionali sono aggiornate al 30.11.99. Si tenga presente che nell'ultimo decennio sono intervenuti alcuni mutamenti nelle categorie di tesseramento che hanno comportato accorpamenti e cambi di denominazione (ad esempio: il karate è passato dalla FITAK, ora FITA, alla FILPJ, ora FILPJK).</a:t>
          </a:r>
        </a:p>
      </xdr:txBody>
    </xdr:sp>
    <xdr:clientData/>
  </xdr:twoCellAnchor>
  <xdr:twoCellAnchor>
    <xdr:from>
      <xdr:col>0</xdr:col>
      <xdr:colOff>647700</xdr:colOff>
      <xdr:row>0</xdr:row>
      <xdr:rowOff>95250</xdr:rowOff>
    </xdr:from>
    <xdr:to>
      <xdr:col>9</xdr:col>
      <xdr:colOff>0</xdr:colOff>
      <xdr:row>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95250"/>
          <a:ext cx="409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- Anni  1995, 1997 e 1999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9525</xdr:rowOff>
    </xdr:from>
    <xdr:to>
      <xdr:col>11</xdr:col>
      <xdr:colOff>38100</xdr:colOff>
      <xdr:row>56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6038850"/>
          <a:ext cx="50768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Gli operatori sono coloro che nell'ambito societario o federale contribuiscono all'organizzazione della pratica sportiva e delle relative competizioni. Tra gli operatori sono compresi anche i cronometristi (FICr) e i medici sportivi (FMSI), "tesserati" per le rispettive federazioni, che vengono considerati "operatori" e non "praticanti".
(b) Cfr. nota (b) alla tavola precedente.
(c) I tecnici della ginnastica includono 3.356 tecnici più 1.707 "tecnici/udg" (ufficiali di gara). Il dato nella colonna ufficiali di gara si riferisce a coloro che hanno solamente questo ruolo; precedentemente in tale voce erano compresi anche i "tecnici/udg".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85725</xdr:rowOff>
    </xdr:from>
    <xdr:to>
      <xdr:col>9</xdr:col>
      <xdr:colOff>0</xdr:colOff>
      <xdr:row>60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3411200"/>
          <a:ext cx="5695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Nell'elenco delle Federazioni sportive nazionali non sono comprese la FICr (cronometristi)  e la FMSI (medici sportivi),  i cui tesserati non sono considerati "praticanti", ma "operatori". In particolare essi sono: FICr/cronometristi/ufficiali di gara:  6.256 nel 1995. FMSI/medici sportivi/tecnici: 5.091 nel 1995.
(b) Cfr. nota (b) alla tavola precedente. </a:t>
          </a:r>
        </a:p>
      </xdr:txBody>
    </xdr:sp>
    <xdr:clientData/>
  </xdr:twoCellAnchor>
  <xdr:oneCellAnchor>
    <xdr:from>
      <xdr:col>0</xdr:col>
      <xdr:colOff>200025</xdr:colOff>
      <xdr:row>30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0025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133350</xdr:colOff>
      <xdr:row>30</xdr:row>
      <xdr:rowOff>9525</xdr:rowOff>
    </xdr:from>
    <xdr:to>
      <xdr:col>8</xdr:col>
      <xdr:colOff>114300</xdr:colOff>
      <xdr:row>32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7677150"/>
          <a:ext cx="461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Praticanti tesserati delle Federazioni sportive nazionali - Anni 1995, 1997, 1999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104775</xdr:rowOff>
    </xdr:from>
    <xdr:to>
      <xdr:col>9</xdr:col>
      <xdr:colOff>9525</xdr:colOff>
      <xdr:row>40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524375"/>
          <a:ext cx="50577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Le sigle e le denominazioni delle discipline associate sono aggiornate al 30.11.99. Si consideri che nell'ultimo decennio sono intervenuti alcuni mutamenti nelle categorie di tesseramento.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0</xdr:rowOff>
    </xdr:from>
    <xdr:to>
      <xdr:col>10</xdr:col>
      <xdr:colOff>581025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14300"/>
          <a:ext cx="4429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per provincia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647700</xdr:colOff>
      <xdr:row>61</xdr:row>
      <xdr:rowOff>0</xdr:rowOff>
    </xdr:from>
    <xdr:to>
      <xdr:col>10</xdr:col>
      <xdr:colOff>600075</xdr:colOff>
      <xdr:row>61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7724775"/>
          <a:ext cx="446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Operatori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733425</xdr:colOff>
      <xdr:row>61</xdr:row>
      <xdr:rowOff>0</xdr:rowOff>
    </xdr:from>
    <xdr:to>
      <xdr:col>10</xdr:col>
      <xdr:colOff>619125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77247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Praticanti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33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647700</xdr:colOff>
      <xdr:row>1</xdr:row>
      <xdr:rowOff>9525</xdr:rowOff>
    </xdr:from>
    <xdr:to>
      <xdr:col>10</xdr:col>
      <xdr:colOff>571500</xdr:colOff>
      <xdr:row>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123825"/>
          <a:ext cx="4305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Operatori delle Federazioni sportive nazionali per provincia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733425</xdr:colOff>
      <xdr:row>60</xdr:row>
      <xdr:rowOff>0</xdr:rowOff>
    </xdr:from>
    <xdr:to>
      <xdr:col>10</xdr:col>
      <xdr:colOff>619125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7629525"/>
          <a:ext cx="426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Praticanti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44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0"/>
          <a:ext cx="444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Operatori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733425</xdr:colOff>
      <xdr:row>0</xdr:row>
      <xdr:rowOff>104775</xdr:rowOff>
    </xdr:from>
    <xdr:to>
      <xdr:col>10</xdr:col>
      <xdr:colOff>561975</xdr:colOff>
      <xdr:row>3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104775"/>
          <a:ext cx="432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Praticanti delle Federazioni sportive nazionali per provincia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95250</xdr:rowOff>
    </xdr:from>
    <xdr:to>
      <xdr:col>8</xdr:col>
      <xdr:colOff>495300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95250"/>
          <a:ext cx="4410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Incidenza della spesa del pubblico nei capoluoghi di provincia sul totale della spesa regionale per genere di sport e regione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 sul totale della spesa regionale)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 topLeftCell="A4">
      <selection activeCell="L21" sqref="L21"/>
    </sheetView>
  </sheetViews>
  <sheetFormatPr defaultColWidth="9.140625" defaultRowHeight="12.75"/>
  <cols>
    <col min="1" max="1" width="16.140625" style="103" customWidth="1"/>
    <col min="2" max="2" width="9.140625" style="103" customWidth="1"/>
    <col min="3" max="4" width="10.00390625" style="103" customWidth="1"/>
    <col min="5" max="5" width="1.28515625" style="103" customWidth="1"/>
    <col min="6" max="8" width="10.00390625" style="103" customWidth="1"/>
    <col min="9" max="16384" width="6.8515625" style="103" customWidth="1"/>
  </cols>
  <sheetData>
    <row r="2" spans="1:9" ht="12.75">
      <c r="A2" s="104" t="s">
        <v>449</v>
      </c>
      <c r="B2" s="104"/>
      <c r="C2" s="20"/>
      <c r="D2" s="20"/>
      <c r="E2" s="20"/>
      <c r="F2" s="106"/>
      <c r="G2" s="106"/>
      <c r="H2" s="105"/>
      <c r="I2" s="105"/>
    </row>
    <row r="3" spans="1:11" ht="12" customHeight="1">
      <c r="A3" s="104"/>
      <c r="B3" s="104"/>
      <c r="C3" s="20"/>
      <c r="D3" s="20"/>
      <c r="E3" s="20"/>
      <c r="F3" s="106"/>
      <c r="G3" s="106"/>
      <c r="H3" s="105"/>
      <c r="I3" s="105"/>
      <c r="K3" s="255"/>
    </row>
    <row r="4" spans="1:9" ht="9" customHeight="1">
      <c r="A4" s="104"/>
      <c r="B4" s="104"/>
      <c r="C4" s="20"/>
      <c r="D4" s="20"/>
      <c r="E4" s="20"/>
      <c r="F4" s="106"/>
      <c r="G4" s="106"/>
      <c r="H4" s="105"/>
      <c r="I4" s="105"/>
    </row>
    <row r="5" spans="1:9" ht="16.5" customHeight="1">
      <c r="A5" s="405" t="s">
        <v>711</v>
      </c>
      <c r="B5" s="364" t="s">
        <v>140</v>
      </c>
      <c r="C5" s="364"/>
      <c r="D5" s="364"/>
      <c r="E5" s="364"/>
      <c r="F5" s="364" t="s">
        <v>141</v>
      </c>
      <c r="G5" s="364"/>
      <c r="H5" s="364"/>
      <c r="I5" s="105"/>
    </row>
    <row r="6" spans="1:9" ht="16.5" customHeight="1">
      <c r="A6" s="406"/>
      <c r="B6" s="81">
        <v>1995</v>
      </c>
      <c r="C6" s="81">
        <v>1997</v>
      </c>
      <c r="D6" s="81">
        <v>1999</v>
      </c>
      <c r="E6" s="81"/>
      <c r="F6" s="81">
        <v>1995</v>
      </c>
      <c r="G6" s="81">
        <v>1997</v>
      </c>
      <c r="H6" s="81">
        <v>1999</v>
      </c>
      <c r="I6" s="105"/>
    </row>
    <row r="7" spans="1:9" ht="10.5" customHeight="1">
      <c r="A7" s="69"/>
      <c r="B7" s="69"/>
      <c r="C7" s="69"/>
      <c r="D7" s="69"/>
      <c r="E7" s="69"/>
      <c r="F7" s="69"/>
      <c r="G7" s="69"/>
      <c r="H7" s="107"/>
      <c r="I7" s="105"/>
    </row>
    <row r="8" spans="1:9" ht="10.5" customHeight="1">
      <c r="A8" s="362" t="s">
        <v>133</v>
      </c>
      <c r="B8" s="362"/>
      <c r="C8" s="362"/>
      <c r="D8" s="362"/>
      <c r="E8" s="362"/>
      <c r="F8" s="362"/>
      <c r="G8" s="362"/>
      <c r="H8" s="362"/>
      <c r="I8" s="105"/>
    </row>
    <row r="9" spans="1:9" ht="10.5" customHeight="1">
      <c r="A9" s="69"/>
      <c r="B9" s="69"/>
      <c r="C9" s="69"/>
      <c r="D9" s="69"/>
      <c r="E9" s="69"/>
      <c r="F9" s="108"/>
      <c r="G9" s="108"/>
      <c r="H9" s="108"/>
      <c r="I9" s="105"/>
    </row>
    <row r="10" spans="1:9" ht="9" customHeight="1">
      <c r="A10" s="105" t="s">
        <v>134</v>
      </c>
      <c r="B10" s="109">
        <v>67353</v>
      </c>
      <c r="C10" s="109">
        <v>65300</v>
      </c>
      <c r="D10" s="109">
        <v>73740</v>
      </c>
      <c r="E10" s="109"/>
      <c r="F10" s="111">
        <v>5276</v>
      </c>
      <c r="G10" s="109">
        <v>6779</v>
      </c>
      <c r="H10" s="109">
        <v>6865</v>
      </c>
      <c r="I10" s="105"/>
    </row>
    <row r="11" spans="1:9" ht="9" customHeight="1">
      <c r="A11" s="105" t="s">
        <v>135</v>
      </c>
      <c r="B11" s="109">
        <v>666678</v>
      </c>
      <c r="C11" s="109">
        <v>695611</v>
      </c>
      <c r="D11" s="109">
        <v>712770</v>
      </c>
      <c r="E11" s="109"/>
      <c r="F11" s="109">
        <v>24298</v>
      </c>
      <c r="G11" s="109">
        <v>33779</v>
      </c>
      <c r="H11" s="109">
        <v>34790</v>
      </c>
      <c r="I11" s="105"/>
    </row>
    <row r="12" spans="1:9" ht="9" customHeight="1">
      <c r="A12" s="105" t="s">
        <v>136</v>
      </c>
      <c r="B12" s="105"/>
      <c r="C12" s="105"/>
      <c r="D12" s="109"/>
      <c r="E12" s="105"/>
      <c r="F12" s="105"/>
      <c r="G12" s="105"/>
      <c r="H12" s="109"/>
      <c r="I12" s="105"/>
    </row>
    <row r="13" spans="1:9" ht="9" customHeight="1">
      <c r="A13" s="114" t="s">
        <v>450</v>
      </c>
      <c r="B13" s="110">
        <v>439364</v>
      </c>
      <c r="C13" s="110">
        <v>446759</v>
      </c>
      <c r="D13" s="109">
        <v>436540</v>
      </c>
      <c r="E13" s="110"/>
      <c r="F13" s="109">
        <v>16440</v>
      </c>
      <c r="G13" s="109">
        <v>24199</v>
      </c>
      <c r="H13" s="109">
        <v>26434</v>
      </c>
      <c r="I13" s="105"/>
    </row>
    <row r="14" spans="1:9" ht="9" customHeight="1">
      <c r="A14" s="114" t="s">
        <v>451</v>
      </c>
      <c r="B14" s="110">
        <v>133129</v>
      </c>
      <c r="C14" s="110">
        <v>155092</v>
      </c>
      <c r="D14" s="109">
        <v>179901</v>
      </c>
      <c r="E14" s="110"/>
      <c r="F14" s="109">
        <v>4794</v>
      </c>
      <c r="G14" s="109">
        <v>6066</v>
      </c>
      <c r="H14" s="109">
        <v>5480</v>
      </c>
      <c r="I14" s="105"/>
    </row>
    <row r="15" spans="1:9" ht="9" customHeight="1">
      <c r="A15" s="114" t="s">
        <v>452</v>
      </c>
      <c r="B15" s="110">
        <v>94185</v>
      </c>
      <c r="C15" s="110">
        <v>93760</v>
      </c>
      <c r="D15" s="109">
        <v>96329</v>
      </c>
      <c r="E15" s="110"/>
      <c r="F15" s="109">
        <v>3064</v>
      </c>
      <c r="G15" s="109">
        <v>3514</v>
      </c>
      <c r="H15" s="109">
        <v>2876</v>
      </c>
      <c r="I15" s="105"/>
    </row>
    <row r="16" spans="1:9" ht="9" customHeight="1">
      <c r="A16" s="105" t="s">
        <v>137</v>
      </c>
      <c r="B16" s="110">
        <v>3709564</v>
      </c>
      <c r="C16" s="110">
        <v>3604084</v>
      </c>
      <c r="D16" s="110">
        <v>3598346</v>
      </c>
      <c r="E16" s="110"/>
      <c r="F16" s="109">
        <v>161483</v>
      </c>
      <c r="G16" s="109">
        <v>209578</v>
      </c>
      <c r="H16" s="109">
        <v>224265</v>
      </c>
      <c r="I16" s="105"/>
    </row>
    <row r="17" spans="1:9" ht="9" customHeight="1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9" customHeight="1">
      <c r="A18" s="363" t="s">
        <v>138</v>
      </c>
      <c r="B18" s="363"/>
      <c r="C18" s="363"/>
      <c r="D18" s="363"/>
      <c r="E18" s="363"/>
      <c r="F18" s="363"/>
      <c r="G18" s="363"/>
      <c r="H18" s="363"/>
      <c r="I18" s="105"/>
    </row>
    <row r="19" spans="1:9" ht="9" customHeight="1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ht="9" customHeight="1">
      <c r="A20" s="105" t="s">
        <v>139</v>
      </c>
      <c r="B20" s="407" t="s">
        <v>1</v>
      </c>
      <c r="C20" s="113">
        <v>-3.048119608629163</v>
      </c>
      <c r="D20" s="113">
        <v>12.924961715160796</v>
      </c>
      <c r="E20" s="105"/>
      <c r="F20" s="407" t="s">
        <v>1</v>
      </c>
      <c r="G20" s="113">
        <v>30.717315850366372</v>
      </c>
      <c r="H20" s="113">
        <v>1.2686236908098538</v>
      </c>
      <c r="I20" s="105"/>
    </row>
    <row r="21" spans="1:9" ht="9" customHeight="1">
      <c r="A21" s="105" t="s">
        <v>93</v>
      </c>
      <c r="B21" s="407" t="s">
        <v>1</v>
      </c>
      <c r="C21" s="113">
        <v>4.339876222104224</v>
      </c>
      <c r="D21" s="113">
        <v>2.46675225089885</v>
      </c>
      <c r="E21" s="105"/>
      <c r="F21" s="407" t="s">
        <v>1</v>
      </c>
      <c r="G21" s="113">
        <v>39.019672401020664</v>
      </c>
      <c r="H21" s="113">
        <v>2.9929838065070014</v>
      </c>
      <c r="I21" s="105"/>
    </row>
    <row r="22" spans="1:9" ht="9" customHeight="1">
      <c r="A22" s="105" t="s">
        <v>136</v>
      </c>
      <c r="B22" s="407" t="s">
        <v>1</v>
      </c>
      <c r="C22" s="105"/>
      <c r="D22" s="105"/>
      <c r="E22" s="105"/>
      <c r="F22" s="407" t="s">
        <v>1</v>
      </c>
      <c r="G22" s="105"/>
      <c r="H22" s="105"/>
      <c r="I22" s="105"/>
    </row>
    <row r="23" spans="1:9" ht="9" customHeight="1">
      <c r="A23" s="114" t="s">
        <v>450</v>
      </c>
      <c r="B23" s="407" t="s">
        <v>1</v>
      </c>
      <c r="C23" s="113">
        <v>1.6831146839522582</v>
      </c>
      <c r="D23" s="113">
        <v>-2.2873629854127167</v>
      </c>
      <c r="E23" s="112"/>
      <c r="F23" s="407" t="s">
        <v>1</v>
      </c>
      <c r="G23" s="113">
        <v>47.195863746958636</v>
      </c>
      <c r="H23" s="113">
        <v>9.235918839621473</v>
      </c>
      <c r="I23" s="105"/>
    </row>
    <row r="24" spans="1:9" ht="9" customHeight="1">
      <c r="A24" s="114" t="s">
        <v>451</v>
      </c>
      <c r="B24" s="407" t="s">
        <v>1</v>
      </c>
      <c r="C24" s="113">
        <v>16.497532468507988</v>
      </c>
      <c r="D24" s="113">
        <v>15.996311866505042</v>
      </c>
      <c r="E24" s="112"/>
      <c r="F24" s="407" t="s">
        <v>1</v>
      </c>
      <c r="G24" s="113">
        <v>26.533166458072593</v>
      </c>
      <c r="H24" s="113">
        <v>-9.660402242004617</v>
      </c>
      <c r="I24" s="105"/>
    </row>
    <row r="25" spans="1:9" ht="9" customHeight="1">
      <c r="A25" s="114" t="s">
        <v>452</v>
      </c>
      <c r="B25" s="407" t="s">
        <v>1</v>
      </c>
      <c r="C25" s="113">
        <v>-0.4512395816743643</v>
      </c>
      <c r="D25" s="113">
        <v>2.7399744027303754</v>
      </c>
      <c r="E25" s="112"/>
      <c r="F25" s="407" t="s">
        <v>1</v>
      </c>
      <c r="G25" s="113">
        <v>14.68668407310705</v>
      </c>
      <c r="H25" s="113">
        <v>-18.155947638019352</v>
      </c>
      <c r="I25" s="105"/>
    </row>
    <row r="26" spans="1:9" ht="9" customHeight="1">
      <c r="A26" s="105" t="s">
        <v>137</v>
      </c>
      <c r="B26" s="407" t="s">
        <v>1</v>
      </c>
      <c r="C26" s="113">
        <v>-2.843460848768211</v>
      </c>
      <c r="D26" s="113">
        <v>-0.1592082759447338</v>
      </c>
      <c r="E26" s="105"/>
      <c r="F26" s="407" t="s">
        <v>1</v>
      </c>
      <c r="G26" s="113">
        <v>29.78332084491866</v>
      </c>
      <c r="H26" s="113">
        <v>7.007892049738045</v>
      </c>
      <c r="I26" s="105"/>
    </row>
    <row r="27" spans="1:9" ht="8.25">
      <c r="A27" s="115"/>
      <c r="B27" s="115"/>
      <c r="C27" s="115"/>
      <c r="D27" s="115"/>
      <c r="E27" s="115"/>
      <c r="F27" s="115"/>
      <c r="G27" s="115"/>
      <c r="H27" s="115"/>
      <c r="I27" s="105"/>
    </row>
    <row r="28" spans="1:9" ht="8.25">
      <c r="A28" s="105"/>
      <c r="B28" s="105"/>
      <c r="C28" s="105"/>
      <c r="D28" s="105"/>
      <c r="E28" s="105"/>
      <c r="F28" s="105"/>
      <c r="G28" s="105"/>
      <c r="H28" s="105"/>
      <c r="I28" s="105"/>
    </row>
    <row r="29" spans="1:9" ht="9.75">
      <c r="A29" s="105"/>
      <c r="B29" s="105"/>
      <c r="C29" s="105"/>
      <c r="D29" s="105"/>
      <c r="E29" s="105"/>
      <c r="F29" s="105"/>
      <c r="G29" s="105"/>
      <c r="H29" s="105"/>
      <c r="I29" s="105"/>
    </row>
    <row r="30" ht="9.75">
      <c r="A30" s="12"/>
    </row>
    <row r="31" ht="9.75"/>
    <row r="32" ht="11.25" customHeight="1"/>
    <row r="33" ht="11.25" customHeight="1"/>
    <row r="34" ht="9.75"/>
    <row r="35" ht="9.75"/>
    <row r="36" ht="9.75"/>
    <row r="37" ht="9.75"/>
    <row r="38" ht="9.75"/>
  </sheetData>
  <mergeCells count="5">
    <mergeCell ref="A8:H8"/>
    <mergeCell ref="A18:H18"/>
    <mergeCell ref="F5:H5"/>
    <mergeCell ref="B5:E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79" useFirstPageNumber="1" horizontalDpi="300" verticalDpi="300" orientation="portrait" paperSize="9" r:id="rId2"/>
  <headerFooter alignWithMargins="0">
    <oddFooter>&amp;C&amp;9 179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C1">
      <selection activeCell="L8" sqref="L8"/>
    </sheetView>
  </sheetViews>
  <sheetFormatPr defaultColWidth="9.140625" defaultRowHeight="12.75"/>
  <cols>
    <col min="1" max="1" width="7.7109375" style="177" hidden="1" customWidth="1"/>
    <col min="2" max="2" width="0" style="177" hidden="1" customWidth="1"/>
    <col min="3" max="3" width="20.140625" style="178" customWidth="1"/>
    <col min="4" max="4" width="8.00390625" style="178" customWidth="1"/>
    <col min="5" max="5" width="0.85546875" style="178" customWidth="1"/>
    <col min="6" max="6" width="9.28125" style="179" customWidth="1"/>
    <col min="7" max="7" width="7.7109375" style="180" customWidth="1"/>
    <col min="8" max="8" width="11.57421875" style="181" customWidth="1"/>
    <col min="9" max="9" width="9.00390625" style="181" customWidth="1"/>
    <col min="10" max="10" width="0.85546875" style="181" customWidth="1"/>
    <col min="11" max="11" width="9.28125" style="177" customWidth="1"/>
    <col min="12" max="16384" width="9.140625" style="177" customWidth="1"/>
  </cols>
  <sheetData>
    <row r="1" spans="4:7" ht="9" customHeight="1">
      <c r="D1" s="188"/>
      <c r="E1" s="188"/>
      <c r="F1" s="190"/>
      <c r="G1" s="191"/>
    </row>
    <row r="2" spans="3:7" ht="11.25" customHeight="1">
      <c r="C2" s="176" t="s">
        <v>456</v>
      </c>
      <c r="D2" s="188"/>
      <c r="E2" s="188"/>
      <c r="F2" s="190"/>
      <c r="G2" s="191"/>
    </row>
    <row r="3" spans="3:7" ht="11.25" customHeight="1">
      <c r="C3" s="182"/>
      <c r="D3" s="188"/>
      <c r="E3" s="188"/>
      <c r="F3" s="190"/>
      <c r="G3" s="191"/>
    </row>
    <row r="4" spans="3:11" ht="9" customHeight="1">
      <c r="C4" s="397"/>
      <c r="D4" s="397"/>
      <c r="E4" s="397"/>
      <c r="F4" s="397"/>
      <c r="G4" s="397"/>
      <c r="H4" s="397"/>
      <c r="I4" s="397"/>
      <c r="J4" s="397"/>
      <c r="K4" s="397"/>
    </row>
    <row r="5" spans="1:11" s="174" customFormat="1" ht="24" customHeight="1">
      <c r="A5" s="174" t="s">
        <v>224</v>
      </c>
      <c r="B5" s="175" t="s">
        <v>224</v>
      </c>
      <c r="C5" s="256" t="s">
        <v>420</v>
      </c>
      <c r="D5" s="200" t="s">
        <v>444</v>
      </c>
      <c r="E5" s="200"/>
      <c r="F5" s="202" t="s">
        <v>445</v>
      </c>
      <c r="G5" s="203"/>
      <c r="H5" s="256" t="s">
        <v>420</v>
      </c>
      <c r="I5" s="200" t="s">
        <v>444</v>
      </c>
      <c r="J5" s="200"/>
      <c r="K5" s="202" t="s">
        <v>445</v>
      </c>
    </row>
    <row r="6" spans="3:11" ht="9" customHeight="1">
      <c r="C6" s="193"/>
      <c r="D6" s="194"/>
      <c r="E6" s="194"/>
      <c r="F6" s="195"/>
      <c r="G6" s="177"/>
      <c r="H6" s="193"/>
      <c r="I6" s="194"/>
      <c r="J6" s="194"/>
      <c r="K6" s="237"/>
    </row>
    <row r="7" spans="3:11" ht="9.75" customHeight="1">
      <c r="C7" s="18" t="s">
        <v>611</v>
      </c>
      <c r="D7" s="232">
        <v>20348</v>
      </c>
      <c r="E7" s="232"/>
      <c r="F7" s="345">
        <v>16908.337003398618</v>
      </c>
      <c r="G7" s="177"/>
      <c r="H7" s="18" t="s">
        <v>669</v>
      </c>
      <c r="I7" s="232">
        <v>22821</v>
      </c>
      <c r="J7" s="232"/>
      <c r="K7" s="345">
        <v>7809.28655266931</v>
      </c>
    </row>
    <row r="8" spans="3:11" ht="9.75" customHeight="1">
      <c r="C8" s="18" t="s">
        <v>631</v>
      </c>
      <c r="D8" s="232">
        <v>57364</v>
      </c>
      <c r="E8" s="232"/>
      <c r="F8" s="345">
        <v>12109.416230045977</v>
      </c>
      <c r="G8" s="177"/>
      <c r="H8" s="18" t="s">
        <v>642</v>
      </c>
      <c r="I8" s="232">
        <v>71162</v>
      </c>
      <c r="J8" s="232"/>
      <c r="K8" s="345">
        <v>7759.374557032417</v>
      </c>
    </row>
    <row r="9" spans="3:11" ht="9.75" customHeight="1">
      <c r="C9" s="18" t="s">
        <v>662</v>
      </c>
      <c r="D9" s="232">
        <v>29316</v>
      </c>
      <c r="E9" s="232"/>
      <c r="F9" s="345">
        <v>11834.185763937947</v>
      </c>
      <c r="G9" s="177"/>
      <c r="H9" s="18" t="s">
        <v>632</v>
      </c>
      <c r="I9" s="232">
        <v>63500</v>
      </c>
      <c r="J9" s="232"/>
      <c r="K9" s="345">
        <v>7729.169887154119</v>
      </c>
    </row>
    <row r="10" spans="3:11" ht="9.75" customHeight="1">
      <c r="C10" s="18" t="s">
        <v>621</v>
      </c>
      <c r="D10" s="232">
        <v>54460</v>
      </c>
      <c r="E10" s="232"/>
      <c r="F10" s="345">
        <v>11774.065922662157</v>
      </c>
      <c r="G10" s="177"/>
      <c r="H10" s="18" t="s">
        <v>415</v>
      </c>
      <c r="I10" s="232">
        <v>23838</v>
      </c>
      <c r="J10" s="232"/>
      <c r="K10" s="345">
        <v>7702.498352095747</v>
      </c>
    </row>
    <row r="11" spans="3:11" ht="9.75" customHeight="1">
      <c r="C11" s="18" t="s">
        <v>617</v>
      </c>
      <c r="D11" s="232">
        <v>15964</v>
      </c>
      <c r="E11" s="232"/>
      <c r="F11" s="345">
        <v>11542.605111890387</v>
      </c>
      <c r="G11" s="177"/>
      <c r="H11" s="18" t="s">
        <v>666</v>
      </c>
      <c r="I11" s="232">
        <v>73259</v>
      </c>
      <c r="J11" s="232"/>
      <c r="K11" s="345">
        <v>7679.35780153107</v>
      </c>
    </row>
    <row r="12" spans="3:11" ht="9.75" customHeight="1">
      <c r="C12" s="18" t="s">
        <v>633</v>
      </c>
      <c r="D12" s="232">
        <v>22853</v>
      </c>
      <c r="E12" s="232"/>
      <c r="F12" s="345">
        <v>10828.342367613055</v>
      </c>
      <c r="G12" s="177"/>
      <c r="H12" s="18" t="s">
        <v>673</v>
      </c>
      <c r="I12" s="232">
        <v>14807</v>
      </c>
      <c r="J12" s="232"/>
      <c r="K12" s="345">
        <v>7420.790441729229</v>
      </c>
    </row>
    <row r="13" spans="3:11" ht="9.75" customHeight="1">
      <c r="C13" s="18" t="s">
        <v>619</v>
      </c>
      <c r="D13" s="232">
        <v>30042</v>
      </c>
      <c r="E13" s="232"/>
      <c r="F13" s="345">
        <v>10738.45174988651</v>
      </c>
      <c r="G13" s="177"/>
      <c r="H13" s="18" t="s">
        <v>703</v>
      </c>
      <c r="I13" s="232">
        <v>40496</v>
      </c>
      <c r="J13" s="232"/>
      <c r="K13" s="345">
        <v>7264.768670505714</v>
      </c>
    </row>
    <row r="14" spans="3:11" ht="9.75" customHeight="1">
      <c r="C14" s="18" t="s">
        <v>646</v>
      </c>
      <c r="D14" s="232">
        <v>23805</v>
      </c>
      <c r="E14" s="232"/>
      <c r="F14" s="345">
        <v>10716.214999549833</v>
      </c>
      <c r="G14" s="177"/>
      <c r="H14" s="18" t="s">
        <v>640</v>
      </c>
      <c r="I14" s="232">
        <v>25329</v>
      </c>
      <c r="J14" s="232"/>
      <c r="K14" s="345">
        <v>7263.732954789865</v>
      </c>
    </row>
    <row r="15" spans="3:11" ht="9.75" customHeight="1">
      <c r="C15" s="18" t="s">
        <v>657</v>
      </c>
      <c r="D15" s="232">
        <v>16692</v>
      </c>
      <c r="E15" s="232"/>
      <c r="F15" s="345">
        <v>10383.761220770011</v>
      </c>
      <c r="G15" s="177"/>
      <c r="H15" s="18" t="s">
        <v>656</v>
      </c>
      <c r="I15" s="232">
        <v>58283</v>
      </c>
      <c r="J15" s="232"/>
      <c r="K15" s="345">
        <v>7154.966786605629</v>
      </c>
    </row>
    <row r="16" spans="3:11" ht="9.75" customHeight="1">
      <c r="C16" s="18" t="s">
        <v>676</v>
      </c>
      <c r="D16" s="232">
        <v>22262</v>
      </c>
      <c r="E16" s="232"/>
      <c r="F16" s="345">
        <v>10333.031632203114</v>
      </c>
      <c r="G16" s="177"/>
      <c r="H16" s="18" t="s">
        <v>414</v>
      </c>
      <c r="I16" s="232">
        <v>13994</v>
      </c>
      <c r="J16" s="232"/>
      <c r="K16" s="345">
        <v>7150.010218679747</v>
      </c>
    </row>
    <row r="17" spans="3:11" ht="9.75" customHeight="1">
      <c r="C17" s="18" t="s">
        <v>680</v>
      </c>
      <c r="D17" s="232">
        <v>62427</v>
      </c>
      <c r="E17" s="232"/>
      <c r="F17" s="345">
        <v>10190.017122924315</v>
      </c>
      <c r="G17" s="177"/>
      <c r="H17" s="18" t="s">
        <v>684</v>
      </c>
      <c r="I17" s="232">
        <v>17410</v>
      </c>
      <c r="J17" s="232"/>
      <c r="K17" s="345">
        <v>7149.31011826544</v>
      </c>
    </row>
    <row r="18" spans="3:11" ht="9.75" customHeight="1">
      <c r="C18" s="18" t="s">
        <v>637</v>
      </c>
      <c r="D18" s="232">
        <v>28389</v>
      </c>
      <c r="E18" s="232"/>
      <c r="F18" s="345">
        <v>10127.137689689862</v>
      </c>
      <c r="G18" s="177"/>
      <c r="H18" s="18" t="s">
        <v>688</v>
      </c>
      <c r="I18" s="232">
        <v>20698</v>
      </c>
      <c r="J18" s="232"/>
      <c r="K18" s="345">
        <v>7115.7469162117195</v>
      </c>
    </row>
    <row r="19" spans="3:11" ht="9.75" customHeight="1">
      <c r="C19" s="18" t="s">
        <v>639</v>
      </c>
      <c r="D19" s="232">
        <v>52190</v>
      </c>
      <c r="E19" s="232"/>
      <c r="F19" s="345">
        <v>10059.404261224552</v>
      </c>
      <c r="G19" s="177"/>
      <c r="H19" s="18" t="s">
        <v>644</v>
      </c>
      <c r="I19" s="232">
        <v>59509</v>
      </c>
      <c r="J19" s="232"/>
      <c r="K19" s="345">
        <v>7004.4209455832915</v>
      </c>
    </row>
    <row r="20" spans="3:11" ht="9.75" customHeight="1">
      <c r="C20" s="18" t="s">
        <v>643</v>
      </c>
      <c r="D20" s="232">
        <v>22292</v>
      </c>
      <c r="E20" s="232"/>
      <c r="F20" s="345">
        <v>10002.73715667754</v>
      </c>
      <c r="G20" s="177"/>
      <c r="H20" s="18" t="s">
        <v>694</v>
      </c>
      <c r="I20" s="232">
        <v>20602</v>
      </c>
      <c r="J20" s="232"/>
      <c r="K20" s="345">
        <v>7003.481004052106</v>
      </c>
    </row>
    <row r="21" spans="3:11" ht="9.75" customHeight="1">
      <c r="C21" s="18" t="s">
        <v>655</v>
      </c>
      <c r="D21" s="232">
        <v>35439</v>
      </c>
      <c r="E21" s="232"/>
      <c r="F21" s="345">
        <v>9998.984273162803</v>
      </c>
      <c r="G21" s="177"/>
      <c r="H21" s="18" t="s">
        <v>705</v>
      </c>
      <c r="I21" s="232">
        <v>16519</v>
      </c>
      <c r="J21" s="232"/>
      <c r="K21" s="345">
        <v>6987.200636161375</v>
      </c>
    </row>
    <row r="22" spans="3:11" ht="9.75" customHeight="1">
      <c r="C22" s="18" t="s">
        <v>682</v>
      </c>
      <c r="D22" s="232">
        <v>33386</v>
      </c>
      <c r="E22" s="232"/>
      <c r="F22" s="345">
        <v>9989.138988040919</v>
      </c>
      <c r="G22" s="177"/>
      <c r="H22" s="18" t="s">
        <v>416</v>
      </c>
      <c r="I22" s="232">
        <v>18533</v>
      </c>
      <c r="J22" s="232"/>
      <c r="K22" s="345">
        <v>6812.826479335075</v>
      </c>
    </row>
    <row r="23" spans="3:11" ht="9.75" customHeight="1">
      <c r="C23" s="18" t="s">
        <v>660</v>
      </c>
      <c r="D23" s="232">
        <v>33897</v>
      </c>
      <c r="E23" s="232"/>
      <c r="F23" s="345">
        <v>9839.648876322955</v>
      </c>
      <c r="G23" s="177"/>
      <c r="H23" s="18" t="s">
        <v>613</v>
      </c>
      <c r="I23" s="232">
        <v>20486</v>
      </c>
      <c r="J23" s="232"/>
      <c r="K23" s="345">
        <v>6742.386592899529</v>
      </c>
    </row>
    <row r="24" spans="3:11" ht="9.75" customHeight="1">
      <c r="C24" s="18" t="s">
        <v>675</v>
      </c>
      <c r="D24" s="232">
        <v>24748</v>
      </c>
      <c r="E24" s="232"/>
      <c r="F24" s="345">
        <v>9789.595686691799</v>
      </c>
      <c r="G24" s="177"/>
      <c r="H24" s="18" t="s">
        <v>674</v>
      </c>
      <c r="I24" s="232">
        <v>249742</v>
      </c>
      <c r="J24" s="232"/>
      <c r="K24" s="345">
        <v>6646.300879096255</v>
      </c>
    </row>
    <row r="25" spans="3:11" ht="9.75" customHeight="1">
      <c r="C25" s="18" t="s">
        <v>625</v>
      </c>
      <c r="D25" s="232">
        <v>14716</v>
      </c>
      <c r="E25" s="232"/>
      <c r="F25" s="345">
        <v>9772.423914414923</v>
      </c>
      <c r="G25" s="177"/>
      <c r="H25" s="18" t="s">
        <v>636</v>
      </c>
      <c r="I25" s="232">
        <v>25784</v>
      </c>
      <c r="J25" s="232"/>
      <c r="K25" s="345">
        <v>6609.028203202498</v>
      </c>
    </row>
    <row r="26" spans="3:11" ht="9.75" customHeight="1">
      <c r="C26" s="18" t="s">
        <v>653</v>
      </c>
      <c r="D26" s="232">
        <v>43384</v>
      </c>
      <c r="E26" s="232"/>
      <c r="F26" s="345">
        <v>9769.938926621868</v>
      </c>
      <c r="G26" s="177"/>
      <c r="H26" s="18" t="s">
        <v>658</v>
      </c>
      <c r="I26" s="232">
        <v>35214</v>
      </c>
      <c r="J26" s="232"/>
      <c r="K26" s="345">
        <v>6150.4228481205</v>
      </c>
    </row>
    <row r="27" spans="3:11" ht="9.75" customHeight="1">
      <c r="C27" s="18" t="s">
        <v>690</v>
      </c>
      <c r="D27" s="232">
        <v>36277</v>
      </c>
      <c r="E27" s="232"/>
      <c r="F27" s="345">
        <v>9699.52514384719</v>
      </c>
      <c r="G27" s="177"/>
      <c r="H27" s="18" t="s">
        <v>622</v>
      </c>
      <c r="I27" s="232">
        <v>12296</v>
      </c>
      <c r="J27" s="232"/>
      <c r="K27" s="345">
        <v>5845.578971889307</v>
      </c>
    </row>
    <row r="28" spans="3:11" ht="9.75" customHeight="1">
      <c r="C28" s="18" t="s">
        <v>627</v>
      </c>
      <c r="D28" s="232">
        <v>14969</v>
      </c>
      <c r="E28" s="232"/>
      <c r="F28" s="345">
        <v>9521.356104697388</v>
      </c>
      <c r="G28" s="177"/>
      <c r="H28" s="18" t="s">
        <v>620</v>
      </c>
      <c r="I28" s="232">
        <v>23023</v>
      </c>
      <c r="J28" s="232"/>
      <c r="K28" s="345">
        <v>5755.893897347433</v>
      </c>
    </row>
    <row r="29" spans="3:11" ht="9.75" customHeight="1">
      <c r="C29" s="18" t="s">
        <v>700</v>
      </c>
      <c r="D29" s="232">
        <v>25547</v>
      </c>
      <c r="E29" s="232"/>
      <c r="F29" s="345">
        <v>9487.67942361614</v>
      </c>
      <c r="G29" s="177"/>
      <c r="H29" s="18" t="s">
        <v>650</v>
      </c>
      <c r="I29" s="232">
        <v>16835</v>
      </c>
      <c r="J29" s="232"/>
      <c r="K29" s="345">
        <v>5736.766419726162</v>
      </c>
    </row>
    <row r="30" spans="3:11" ht="9.75" customHeight="1">
      <c r="C30" s="18" t="s">
        <v>645</v>
      </c>
      <c r="D30" s="232">
        <v>31564</v>
      </c>
      <c r="E30" s="232"/>
      <c r="F30" s="345">
        <v>9441.33860976259</v>
      </c>
      <c r="G30" s="177"/>
      <c r="H30" s="18" t="s">
        <v>696</v>
      </c>
      <c r="I30" s="232">
        <v>21891</v>
      </c>
      <c r="J30" s="232"/>
      <c r="K30" s="345">
        <v>5734.576423034707</v>
      </c>
    </row>
    <row r="31" spans="3:11" ht="9.75" customHeight="1">
      <c r="C31" s="18" t="s">
        <v>413</v>
      </c>
      <c r="D31" s="232">
        <v>17817</v>
      </c>
      <c r="E31" s="232"/>
      <c r="F31" s="345">
        <v>9401.813135204162</v>
      </c>
      <c r="G31" s="177"/>
      <c r="H31" s="18" t="s">
        <v>634</v>
      </c>
      <c r="I31" s="232">
        <v>38799</v>
      </c>
      <c r="J31" s="232"/>
      <c r="K31" s="345">
        <v>5731.90819846505</v>
      </c>
    </row>
    <row r="32" spans="3:11" ht="9.75" customHeight="1">
      <c r="C32" s="18" t="s">
        <v>629</v>
      </c>
      <c r="D32" s="232">
        <v>28092</v>
      </c>
      <c r="E32" s="232"/>
      <c r="F32" s="345">
        <v>9282.070259839815</v>
      </c>
      <c r="G32" s="177"/>
      <c r="H32" s="18" t="s">
        <v>661</v>
      </c>
      <c r="I32" s="232">
        <v>24404</v>
      </c>
      <c r="J32" s="232"/>
      <c r="K32" s="345">
        <v>5540.294495575302</v>
      </c>
    </row>
    <row r="33" spans="3:11" ht="9.75" customHeight="1">
      <c r="C33" s="18" t="s">
        <v>665</v>
      </c>
      <c r="D33" s="232">
        <v>20068</v>
      </c>
      <c r="E33" s="232"/>
      <c r="F33" s="345">
        <v>9274.167460002034</v>
      </c>
      <c r="G33" s="177"/>
      <c r="H33" s="18" t="s">
        <v>670</v>
      </c>
      <c r="I33" s="232">
        <v>27951</v>
      </c>
      <c r="J33" s="232"/>
      <c r="K33" s="345">
        <v>5479.4171441789895</v>
      </c>
    </row>
    <row r="34" spans="3:11" ht="9.75" customHeight="1">
      <c r="C34" s="18" t="s">
        <v>616</v>
      </c>
      <c r="D34" s="232">
        <v>32403</v>
      </c>
      <c r="E34" s="232"/>
      <c r="F34" s="345">
        <v>9240.943857907976</v>
      </c>
      <c r="G34" s="177"/>
      <c r="H34" s="18" t="s">
        <v>672</v>
      </c>
      <c r="I34" s="232">
        <v>120858</v>
      </c>
      <c r="J34" s="232"/>
      <c r="K34" s="345">
        <v>5458.112381349801</v>
      </c>
    </row>
    <row r="35" spans="3:11" ht="9.75" customHeight="1">
      <c r="C35" s="18" t="s">
        <v>651</v>
      </c>
      <c r="D35" s="232">
        <v>42180</v>
      </c>
      <c r="E35" s="232"/>
      <c r="F35" s="345">
        <v>9185.84012979518</v>
      </c>
      <c r="G35" s="177"/>
      <c r="H35" s="18" t="s">
        <v>628</v>
      </c>
      <c r="I35" s="232">
        <v>11114</v>
      </c>
      <c r="J35" s="232"/>
      <c r="K35" s="345">
        <v>5390.0956870504815</v>
      </c>
    </row>
    <row r="36" spans="3:11" ht="9.75" customHeight="1">
      <c r="C36" s="18" t="s">
        <v>626</v>
      </c>
      <c r="D36" s="232">
        <v>71290</v>
      </c>
      <c r="E36" s="232"/>
      <c r="F36" s="345">
        <v>9054.365565723212</v>
      </c>
      <c r="G36" s="177"/>
      <c r="H36" s="18" t="s">
        <v>685</v>
      </c>
      <c r="I36" s="232">
        <v>199535</v>
      </c>
      <c r="J36" s="232"/>
      <c r="K36" s="345">
        <v>5227.3525706335095</v>
      </c>
    </row>
    <row r="37" spans="3:11" ht="9.75" customHeight="1">
      <c r="C37" s="18" t="s">
        <v>612</v>
      </c>
      <c r="D37" s="232">
        <v>98323</v>
      </c>
      <c r="E37" s="232"/>
      <c r="F37" s="345">
        <v>8950.814806992565</v>
      </c>
      <c r="G37" s="177"/>
      <c r="H37" s="18" t="s">
        <v>654</v>
      </c>
      <c r="I37" s="232">
        <v>25597</v>
      </c>
      <c r="J37" s="232"/>
      <c r="K37" s="345">
        <v>5181.379663535208</v>
      </c>
    </row>
    <row r="38" spans="3:11" ht="9.75" customHeight="1">
      <c r="C38" s="18" t="s">
        <v>623</v>
      </c>
      <c r="D38" s="232">
        <v>16110</v>
      </c>
      <c r="E38" s="232"/>
      <c r="F38" s="345">
        <v>8919.771884170312</v>
      </c>
      <c r="G38" s="177"/>
      <c r="H38" s="18" t="s">
        <v>648</v>
      </c>
      <c r="I38" s="232">
        <v>19478</v>
      </c>
      <c r="J38" s="232"/>
      <c r="K38" s="345">
        <v>4827.524672968539</v>
      </c>
    </row>
    <row r="39" spans="3:11" ht="9.75" customHeight="1">
      <c r="C39" s="18" t="s">
        <v>678</v>
      </c>
      <c r="D39" s="232">
        <v>40041</v>
      </c>
      <c r="E39" s="232"/>
      <c r="F39" s="345">
        <v>8912.160432687493</v>
      </c>
      <c r="G39" s="177"/>
      <c r="H39" s="18" t="s">
        <v>687</v>
      </c>
      <c r="I39" s="232">
        <v>19764</v>
      </c>
      <c r="J39" s="232"/>
      <c r="K39" s="345">
        <v>4802.180954070215</v>
      </c>
    </row>
    <row r="40" spans="3:11" ht="9.75" customHeight="1">
      <c r="C40" s="18" t="s">
        <v>686</v>
      </c>
      <c r="D40" s="232">
        <v>28445</v>
      </c>
      <c r="E40" s="232"/>
      <c r="F40" s="345">
        <v>8841.401818323102</v>
      </c>
      <c r="G40" s="177"/>
      <c r="H40" s="18" t="s">
        <v>681</v>
      </c>
      <c r="I40" s="232">
        <v>35743</v>
      </c>
      <c r="J40" s="232"/>
      <c r="K40" s="345">
        <v>4381.048102910444</v>
      </c>
    </row>
    <row r="41" spans="3:11" ht="9.75" customHeight="1">
      <c r="C41" s="18" t="s">
        <v>624</v>
      </c>
      <c r="D41" s="232">
        <v>32733</v>
      </c>
      <c r="E41" s="232"/>
      <c r="F41" s="345">
        <v>8726.403147935367</v>
      </c>
      <c r="G41" s="177"/>
      <c r="H41" s="18" t="s">
        <v>664</v>
      </c>
      <c r="I41" s="232">
        <v>47801</v>
      </c>
      <c r="J41" s="232"/>
      <c r="K41" s="345">
        <v>4377.545310767163</v>
      </c>
    </row>
    <row r="42" spans="3:11" ht="9.75" customHeight="1">
      <c r="C42" s="18" t="s">
        <v>649</v>
      </c>
      <c r="D42" s="232">
        <v>46841</v>
      </c>
      <c r="E42" s="232"/>
      <c r="F42" s="345">
        <v>8682.749058338524</v>
      </c>
      <c r="G42" s="177"/>
      <c r="H42" s="18" t="s">
        <v>418</v>
      </c>
      <c r="I42" s="232">
        <v>9585</v>
      </c>
      <c r="J42" s="232"/>
      <c r="K42" s="345">
        <v>4203.449591495744</v>
      </c>
    </row>
    <row r="43" spans="3:11" ht="9.75" customHeight="1">
      <c r="C43" s="18" t="s">
        <v>614</v>
      </c>
      <c r="D43" s="232">
        <v>66235</v>
      </c>
      <c r="E43" s="232"/>
      <c r="F43" s="345">
        <v>8646.121874616547</v>
      </c>
      <c r="G43" s="177"/>
      <c r="H43" s="18" t="s">
        <v>652</v>
      </c>
      <c r="I43" s="232">
        <v>11597</v>
      </c>
      <c r="J43" s="232"/>
      <c r="K43" s="345">
        <v>4108.681480641687</v>
      </c>
    </row>
    <row r="44" spans="3:11" ht="9.75" customHeight="1">
      <c r="C44" s="18" t="s">
        <v>615</v>
      </c>
      <c r="D44" s="232">
        <v>7859</v>
      </c>
      <c r="E44" s="232"/>
      <c r="F44" s="345">
        <v>8582.598914479791</v>
      </c>
      <c r="G44" s="177"/>
      <c r="H44" s="18" t="s">
        <v>689</v>
      </c>
      <c r="I44" s="232">
        <v>7265</v>
      </c>
      <c r="J44" s="232"/>
      <c r="K44" s="345">
        <v>3997.270961600889</v>
      </c>
    </row>
    <row r="45" spans="3:11" ht="9.75" customHeight="1">
      <c r="C45" s="18" t="s">
        <v>641</v>
      </c>
      <c r="D45" s="232">
        <v>31714</v>
      </c>
      <c r="E45" s="232"/>
      <c r="F45" s="345">
        <v>8576.195743000777</v>
      </c>
      <c r="G45" s="177"/>
      <c r="H45" s="18" t="s">
        <v>668</v>
      </c>
      <c r="I45" s="232">
        <v>17028</v>
      </c>
      <c r="J45" s="232"/>
      <c r="K45" s="345">
        <v>3923.457103028767</v>
      </c>
    </row>
    <row r="46" spans="3:11" ht="9.75" customHeight="1">
      <c r="C46" s="18" t="s">
        <v>659</v>
      </c>
      <c r="D46" s="232">
        <v>29283</v>
      </c>
      <c r="E46" s="232"/>
      <c r="F46" s="345">
        <v>8523.501263258391</v>
      </c>
      <c r="G46" s="177"/>
      <c r="H46" s="18" t="s">
        <v>693</v>
      </c>
      <c r="I46" s="232">
        <v>32059</v>
      </c>
      <c r="J46" s="232"/>
      <c r="K46" s="345">
        <v>3746.5539626945647</v>
      </c>
    </row>
    <row r="47" spans="3:11" ht="9.75" customHeight="1">
      <c r="C47" s="18" t="s">
        <v>635</v>
      </c>
      <c r="D47" s="232">
        <v>14878</v>
      </c>
      <c r="E47" s="232"/>
      <c r="F47" s="345">
        <v>8388.257116600043</v>
      </c>
      <c r="G47" s="177"/>
      <c r="H47" s="18" t="s">
        <v>683</v>
      </c>
      <c r="I47" s="232">
        <v>41191</v>
      </c>
      <c r="J47" s="232"/>
      <c r="K47" s="345">
        <v>3743.928420807702</v>
      </c>
    </row>
    <row r="48" spans="3:11" ht="9.75" customHeight="1">
      <c r="C48" s="18" t="s">
        <v>698</v>
      </c>
      <c r="D48" s="232">
        <v>33304</v>
      </c>
      <c r="E48" s="232"/>
      <c r="F48" s="345">
        <v>8386.97329586091</v>
      </c>
      <c r="G48" s="177"/>
      <c r="H48" s="18" t="s">
        <v>679</v>
      </c>
      <c r="I48" s="232">
        <v>11245</v>
      </c>
      <c r="J48" s="232"/>
      <c r="K48" s="345">
        <v>3725.310911897805</v>
      </c>
    </row>
    <row r="49" spans="3:11" ht="9.75" customHeight="1">
      <c r="C49" s="18" t="s">
        <v>667</v>
      </c>
      <c r="D49" s="232">
        <v>32258</v>
      </c>
      <c r="E49" s="232"/>
      <c r="F49" s="345">
        <v>8350.548022511119</v>
      </c>
      <c r="G49" s="177"/>
      <c r="H49" s="18" t="s">
        <v>677</v>
      </c>
      <c r="I49" s="232">
        <v>27606</v>
      </c>
      <c r="J49" s="232"/>
      <c r="K49" s="345">
        <v>3703.4850806137865</v>
      </c>
    </row>
    <row r="50" spans="3:11" ht="9.75" customHeight="1">
      <c r="C50" s="18" t="s">
        <v>647</v>
      </c>
      <c r="D50" s="232">
        <v>35977</v>
      </c>
      <c r="E50" s="232"/>
      <c r="F50" s="345">
        <v>8347.661044635171</v>
      </c>
      <c r="G50" s="177"/>
      <c r="H50" s="18" t="s">
        <v>691</v>
      </c>
      <c r="I50" s="232">
        <v>43477</v>
      </c>
      <c r="J50" s="232"/>
      <c r="K50" s="345">
        <v>3511.7009581918824</v>
      </c>
    </row>
    <row r="51" spans="3:11" ht="9.75" customHeight="1">
      <c r="C51" s="18" t="s">
        <v>630</v>
      </c>
      <c r="D51" s="232">
        <v>52185</v>
      </c>
      <c r="E51" s="232"/>
      <c r="F51" s="345">
        <v>8339.379256782888</v>
      </c>
      <c r="G51" s="177"/>
      <c r="H51" s="18" t="s">
        <v>695</v>
      </c>
      <c r="I51" s="234">
        <v>20602</v>
      </c>
      <c r="J51" s="234"/>
      <c r="K51" s="345">
        <v>3504.5103432555784</v>
      </c>
    </row>
    <row r="52" spans="3:11" ht="9.75" customHeight="1">
      <c r="C52" s="18" t="s">
        <v>692</v>
      </c>
      <c r="D52" s="232">
        <v>80057</v>
      </c>
      <c r="E52" s="232"/>
      <c r="F52" s="345">
        <v>8294.91893863333</v>
      </c>
      <c r="G52" s="177"/>
      <c r="H52" s="18" t="s">
        <v>417</v>
      </c>
      <c r="I52" s="234">
        <v>5101</v>
      </c>
      <c r="J52" s="234"/>
      <c r="K52" s="345">
        <v>2928.9495745242825</v>
      </c>
    </row>
    <row r="53" spans="3:11" ht="9.75" customHeight="1">
      <c r="C53" s="18" t="s">
        <v>706</v>
      </c>
      <c r="D53" s="232">
        <v>41033</v>
      </c>
      <c r="E53" s="232"/>
      <c r="F53" s="345">
        <v>8246.595990554188</v>
      </c>
      <c r="G53" s="177"/>
      <c r="H53" s="18" t="s">
        <v>697</v>
      </c>
      <c r="I53" s="234">
        <v>45457</v>
      </c>
      <c r="J53" s="234"/>
      <c r="K53" s="345">
        <v>2884.2359062212495</v>
      </c>
    </row>
    <row r="54" spans="3:11" ht="9.75" customHeight="1">
      <c r="C54" s="18" t="s">
        <v>663</v>
      </c>
      <c r="D54" s="232">
        <v>22205</v>
      </c>
      <c r="E54" s="232"/>
      <c r="F54" s="345">
        <v>8241.717454402387</v>
      </c>
      <c r="G54" s="177"/>
      <c r="H54" s="18" t="s">
        <v>699</v>
      </c>
      <c r="I54" s="234">
        <v>19318</v>
      </c>
      <c r="J54" s="234"/>
      <c r="K54" s="345">
        <v>2783.974636114714</v>
      </c>
    </row>
    <row r="55" spans="3:11" ht="9.75" customHeight="1">
      <c r="C55" s="18" t="s">
        <v>618</v>
      </c>
      <c r="D55" s="234">
        <v>63429</v>
      </c>
      <c r="E55" s="234"/>
      <c r="F55" s="346">
        <v>8089.866144594448</v>
      </c>
      <c r="G55" s="177"/>
      <c r="H55" s="18" t="s">
        <v>704</v>
      </c>
      <c r="I55" s="234">
        <v>12613</v>
      </c>
      <c r="J55" s="234"/>
      <c r="K55" s="345">
        <v>2687.688583556366</v>
      </c>
    </row>
    <row r="56" spans="3:11" ht="9" customHeight="1">
      <c r="C56" s="18" t="s">
        <v>671</v>
      </c>
      <c r="D56" s="234">
        <v>21208</v>
      </c>
      <c r="E56" s="234"/>
      <c r="F56" s="346">
        <v>7970.385403160644</v>
      </c>
      <c r="G56" s="177"/>
      <c r="H56" s="18" t="s">
        <v>702</v>
      </c>
      <c r="I56" s="234">
        <v>81673</v>
      </c>
      <c r="J56" s="234"/>
      <c r="K56" s="345">
        <v>2635.151834278365</v>
      </c>
    </row>
    <row r="57" spans="3:11" ht="9.75" customHeight="1">
      <c r="C57" s="18" t="s">
        <v>638</v>
      </c>
      <c r="D57" s="234">
        <v>72209</v>
      </c>
      <c r="E57" s="234"/>
      <c r="F57" s="346">
        <v>7956.18692725624</v>
      </c>
      <c r="G57" s="177"/>
      <c r="H57" s="18" t="s">
        <v>419</v>
      </c>
      <c r="I57" s="234">
        <v>4420</v>
      </c>
      <c r="J57" s="234"/>
      <c r="K57" s="345">
        <v>2502.3919923456247</v>
      </c>
    </row>
    <row r="58" spans="3:11" ht="9.75" customHeight="1">
      <c r="C58" s="1" t="s">
        <v>701</v>
      </c>
      <c r="D58" s="257">
        <v>64791</v>
      </c>
      <c r="E58" s="257"/>
      <c r="F58" s="348">
        <v>7937.4082722223175</v>
      </c>
      <c r="G58" s="187"/>
      <c r="H58" s="208" t="s">
        <v>225</v>
      </c>
      <c r="I58" s="258">
        <v>3822611</v>
      </c>
      <c r="J58" s="258"/>
      <c r="K58" s="349">
        <v>6627.284949114419</v>
      </c>
    </row>
    <row r="59" spans="3:11" ht="9" customHeight="1">
      <c r="C59" s="204"/>
      <c r="D59" s="259"/>
      <c r="E59" s="259"/>
      <c r="F59" s="206"/>
      <c r="G59" s="198"/>
      <c r="H59" s="199"/>
      <c r="I59" s="198"/>
      <c r="J59" s="198"/>
      <c r="K59" s="198"/>
    </row>
    <row r="60" spans="4:10" ht="12.75">
      <c r="D60" s="179"/>
      <c r="E60" s="179"/>
      <c r="F60" s="180"/>
      <c r="G60" s="177"/>
      <c r="I60" s="177"/>
      <c r="J60" s="177"/>
    </row>
    <row r="61" spans="4:10" ht="12.75">
      <c r="D61" s="179"/>
      <c r="E61" s="179"/>
      <c r="F61" s="180"/>
      <c r="G61" s="177"/>
      <c r="I61" s="177"/>
      <c r="J61" s="177"/>
    </row>
  </sheetData>
  <mergeCells count="1">
    <mergeCell ref="C4:K4"/>
  </mergeCells>
  <printOptions horizontalCentered="1"/>
  <pageMargins left="1.1811023622047245" right="1.1811023622047245" top="1.1811023622047245" bottom="1.5748031496062993" header="0" footer="1.2598425196850394"/>
  <pageSetup firstPageNumber="189" useFirstPageNumber="1" horizontalDpi="300" verticalDpi="300" orientation="portrait" paperSize="9" r:id="rId2"/>
  <headerFooter alignWithMargins="0">
    <oddFooter>&amp;C&amp;9 189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4"/>
  <sheetViews>
    <sheetView showGridLines="0" workbookViewId="0" topLeftCell="A34">
      <selection activeCell="J59" sqref="J59"/>
    </sheetView>
  </sheetViews>
  <sheetFormatPr defaultColWidth="9.140625" defaultRowHeight="12.75"/>
  <cols>
    <col min="1" max="1" width="13.57421875" style="52" customWidth="1"/>
    <col min="2" max="2" width="8.28125" style="18" customWidth="1"/>
    <col min="3" max="4" width="8.00390625" style="211" customWidth="1"/>
    <col min="5" max="5" width="11.57421875" style="211" customWidth="1"/>
    <col min="6" max="6" width="8.28125" style="211" customWidth="1"/>
    <col min="7" max="7" width="8.140625" style="211" customWidth="1"/>
    <col min="8" max="8" width="7.57421875" style="211" customWidth="1"/>
    <col min="9" max="9" width="8.00390625" style="211" customWidth="1"/>
    <col min="10" max="16384" width="10.7109375" style="18" customWidth="1"/>
  </cols>
  <sheetData>
    <row r="1" ht="9" customHeight="1"/>
    <row r="2" spans="1:9" s="209" customFormat="1" ht="12" customHeight="1">
      <c r="A2" s="223" t="s">
        <v>707</v>
      </c>
      <c r="C2" s="264"/>
      <c r="D2" s="264"/>
      <c r="E2" s="264"/>
      <c r="F2" s="264"/>
      <c r="G2" s="264"/>
      <c r="H2" s="264"/>
      <c r="I2" s="264"/>
    </row>
    <row r="3" spans="1:9" s="209" customFormat="1" ht="9" customHeight="1">
      <c r="A3" s="398"/>
      <c r="B3" s="398"/>
      <c r="C3" s="398"/>
      <c r="D3" s="398"/>
      <c r="E3" s="398"/>
      <c r="F3" s="398"/>
      <c r="G3" s="398"/>
      <c r="H3" s="398"/>
      <c r="I3" s="398"/>
    </row>
    <row r="4" spans="1:9" ht="12" customHeight="1">
      <c r="A4" s="369" t="s">
        <v>226</v>
      </c>
      <c r="B4" s="261" t="s">
        <v>9</v>
      </c>
      <c r="C4" s="261" t="s">
        <v>227</v>
      </c>
      <c r="D4" s="261" t="s">
        <v>25</v>
      </c>
      <c r="E4" s="261" t="s">
        <v>228</v>
      </c>
      <c r="F4" s="261" t="s">
        <v>229</v>
      </c>
      <c r="G4" s="261" t="s">
        <v>35</v>
      </c>
      <c r="H4" s="261" t="s">
        <v>27</v>
      </c>
      <c r="I4" s="261" t="s">
        <v>446</v>
      </c>
    </row>
    <row r="5" spans="1:9" ht="14.25" customHeight="1">
      <c r="A5" s="399"/>
      <c r="B5" s="262"/>
      <c r="C5" s="262" t="s">
        <v>230</v>
      </c>
      <c r="D5" s="262"/>
      <c r="E5" s="262" t="s">
        <v>231</v>
      </c>
      <c r="F5" s="262" t="s">
        <v>232</v>
      </c>
      <c r="G5" s="262"/>
      <c r="H5" s="262"/>
      <c r="I5" s="262" t="s">
        <v>233</v>
      </c>
    </row>
    <row r="6" ht="8.25">
      <c r="B6" s="211"/>
    </row>
    <row r="7" spans="1:9" ht="9" customHeight="1">
      <c r="A7" s="52" t="s">
        <v>234</v>
      </c>
      <c r="B7" s="332">
        <v>48162</v>
      </c>
      <c r="C7" s="332">
        <v>1435</v>
      </c>
      <c r="D7" s="332">
        <v>1157</v>
      </c>
      <c r="E7" s="332">
        <v>810</v>
      </c>
      <c r="F7" s="332">
        <v>526</v>
      </c>
      <c r="G7" s="332">
        <v>0</v>
      </c>
      <c r="H7" s="332">
        <v>11</v>
      </c>
      <c r="I7" s="332">
        <v>295</v>
      </c>
    </row>
    <row r="8" spans="1:9" ht="9" customHeight="1">
      <c r="A8" s="52" t="s">
        <v>235</v>
      </c>
      <c r="B8" s="332">
        <v>405</v>
      </c>
      <c r="C8" s="332">
        <v>5</v>
      </c>
      <c r="D8" s="332">
        <v>0</v>
      </c>
      <c r="E8" s="332">
        <v>6</v>
      </c>
      <c r="F8" s="332">
        <v>0</v>
      </c>
      <c r="G8" s="332">
        <v>0</v>
      </c>
      <c r="H8" s="332">
        <v>0</v>
      </c>
      <c r="I8" s="332">
        <v>135</v>
      </c>
    </row>
    <row r="9" spans="1:9" ht="9" customHeight="1">
      <c r="A9" s="52" t="s">
        <v>236</v>
      </c>
      <c r="B9" s="332">
        <v>117854</v>
      </c>
      <c r="C9" s="332">
        <v>9667</v>
      </c>
      <c r="D9" s="332">
        <v>1248</v>
      </c>
      <c r="E9" s="332">
        <v>27775</v>
      </c>
      <c r="F9" s="332">
        <v>1864</v>
      </c>
      <c r="G9" s="332">
        <v>22</v>
      </c>
      <c r="H9" s="332">
        <v>90</v>
      </c>
      <c r="I9" s="332">
        <v>383</v>
      </c>
    </row>
    <row r="10" spans="1:9" ht="9" customHeight="1">
      <c r="A10" s="52" t="s">
        <v>237</v>
      </c>
      <c r="B10" s="332">
        <v>1069</v>
      </c>
      <c r="C10" s="332">
        <v>66</v>
      </c>
      <c r="D10" s="332">
        <v>141</v>
      </c>
      <c r="E10" s="332">
        <v>124</v>
      </c>
      <c r="F10" s="332">
        <v>305</v>
      </c>
      <c r="G10" s="332">
        <v>99</v>
      </c>
      <c r="H10" s="332">
        <v>11</v>
      </c>
      <c r="I10" s="332">
        <v>1920</v>
      </c>
    </row>
    <row r="11" spans="1:9" s="212" customFormat="1" ht="9" customHeight="1">
      <c r="A11" s="260" t="s">
        <v>238</v>
      </c>
      <c r="B11" s="341">
        <v>368</v>
      </c>
      <c r="C11" s="341">
        <v>7</v>
      </c>
      <c r="D11" s="341">
        <v>0</v>
      </c>
      <c r="E11" s="341">
        <v>0</v>
      </c>
      <c r="F11" s="341">
        <v>305</v>
      </c>
      <c r="G11" s="341">
        <v>99</v>
      </c>
      <c r="H11" s="341">
        <v>5</v>
      </c>
      <c r="I11" s="341">
        <v>1543</v>
      </c>
    </row>
    <row r="12" spans="1:9" s="212" customFormat="1" ht="9" customHeight="1">
      <c r="A12" s="260" t="s">
        <v>239</v>
      </c>
      <c r="B12" s="341">
        <v>701</v>
      </c>
      <c r="C12" s="341">
        <v>59</v>
      </c>
      <c r="D12" s="341">
        <v>141</v>
      </c>
      <c r="E12" s="341">
        <v>124</v>
      </c>
      <c r="F12" s="341">
        <v>0</v>
      </c>
      <c r="G12" s="341">
        <v>0</v>
      </c>
      <c r="H12" s="341">
        <v>6</v>
      </c>
      <c r="I12" s="341">
        <v>377</v>
      </c>
    </row>
    <row r="13" spans="1:9" ht="9" customHeight="1">
      <c r="A13" s="52" t="s">
        <v>240</v>
      </c>
      <c r="B13" s="332">
        <v>33834</v>
      </c>
      <c r="C13" s="332">
        <v>4464</v>
      </c>
      <c r="D13" s="332">
        <v>922</v>
      </c>
      <c r="E13" s="332">
        <v>1240</v>
      </c>
      <c r="F13" s="332">
        <v>332</v>
      </c>
      <c r="G13" s="332">
        <v>43</v>
      </c>
      <c r="H13" s="332">
        <v>109</v>
      </c>
      <c r="I13" s="332">
        <v>630</v>
      </c>
    </row>
    <row r="14" spans="1:9" ht="9" customHeight="1">
      <c r="A14" s="52" t="s">
        <v>241</v>
      </c>
      <c r="B14" s="332">
        <v>16434</v>
      </c>
      <c r="C14" s="332">
        <v>2426</v>
      </c>
      <c r="D14" s="332">
        <v>159</v>
      </c>
      <c r="E14" s="332">
        <v>106</v>
      </c>
      <c r="F14" s="332">
        <v>102</v>
      </c>
      <c r="G14" s="332">
        <v>0</v>
      </c>
      <c r="H14" s="332">
        <v>27</v>
      </c>
      <c r="I14" s="332">
        <v>14</v>
      </c>
    </row>
    <row r="15" spans="1:9" ht="9" customHeight="1">
      <c r="A15" s="52" t="s">
        <v>242</v>
      </c>
      <c r="B15" s="332">
        <v>16963</v>
      </c>
      <c r="C15" s="332">
        <v>93</v>
      </c>
      <c r="D15" s="332">
        <v>116</v>
      </c>
      <c r="E15" s="332">
        <v>129</v>
      </c>
      <c r="F15" s="332">
        <v>57</v>
      </c>
      <c r="G15" s="332">
        <v>0</v>
      </c>
      <c r="H15" s="332">
        <v>22</v>
      </c>
      <c r="I15" s="332">
        <v>0</v>
      </c>
    </row>
    <row r="16" spans="1:9" ht="9" customHeight="1">
      <c r="A16" s="52" t="s">
        <v>243</v>
      </c>
      <c r="B16" s="332">
        <v>68739</v>
      </c>
      <c r="C16" s="332">
        <v>20929</v>
      </c>
      <c r="D16" s="332">
        <v>2371</v>
      </c>
      <c r="E16" s="332">
        <v>34771</v>
      </c>
      <c r="F16" s="332">
        <v>1104</v>
      </c>
      <c r="G16" s="332">
        <v>0</v>
      </c>
      <c r="H16" s="332">
        <v>115</v>
      </c>
      <c r="I16" s="332">
        <v>0</v>
      </c>
    </row>
    <row r="17" spans="1:9" ht="9" customHeight="1">
      <c r="A17" s="52" t="s">
        <v>244</v>
      </c>
      <c r="B17" s="332">
        <v>69034</v>
      </c>
      <c r="C17" s="332">
        <v>3111</v>
      </c>
      <c r="D17" s="332">
        <v>329</v>
      </c>
      <c r="E17" s="332">
        <v>3019</v>
      </c>
      <c r="F17" s="332">
        <v>1967</v>
      </c>
      <c r="G17" s="332">
        <v>18</v>
      </c>
      <c r="H17" s="332">
        <v>74</v>
      </c>
      <c r="I17" s="332">
        <v>1</v>
      </c>
    </row>
    <row r="18" spans="1:9" ht="9" customHeight="1">
      <c r="A18" s="52" t="s">
        <v>245</v>
      </c>
      <c r="B18" s="332">
        <v>19754</v>
      </c>
      <c r="C18" s="332">
        <v>153</v>
      </c>
      <c r="D18" s="332">
        <v>206</v>
      </c>
      <c r="E18" s="332">
        <v>373</v>
      </c>
      <c r="F18" s="332">
        <v>7</v>
      </c>
      <c r="G18" s="332">
        <v>0</v>
      </c>
      <c r="H18" s="332">
        <v>5</v>
      </c>
      <c r="I18" s="332">
        <v>0</v>
      </c>
    </row>
    <row r="19" spans="1:9" ht="9" customHeight="1">
      <c r="A19" s="52" t="s">
        <v>246</v>
      </c>
      <c r="B19" s="332">
        <v>8119</v>
      </c>
      <c r="C19" s="332">
        <v>3609</v>
      </c>
      <c r="D19" s="332">
        <v>1288</v>
      </c>
      <c r="E19" s="332">
        <v>171</v>
      </c>
      <c r="F19" s="332">
        <v>492</v>
      </c>
      <c r="G19" s="332">
        <v>208</v>
      </c>
      <c r="H19" s="332">
        <v>5</v>
      </c>
      <c r="I19" s="332">
        <v>3</v>
      </c>
    </row>
    <row r="20" spans="1:9" ht="9" customHeight="1">
      <c r="A20" s="52" t="s">
        <v>247</v>
      </c>
      <c r="B20" s="332">
        <v>90096</v>
      </c>
      <c r="C20" s="332">
        <v>1616</v>
      </c>
      <c r="D20" s="332">
        <v>627</v>
      </c>
      <c r="E20" s="332">
        <v>697</v>
      </c>
      <c r="F20" s="332">
        <v>679</v>
      </c>
      <c r="G20" s="332">
        <v>6905</v>
      </c>
      <c r="H20" s="332">
        <v>86</v>
      </c>
      <c r="I20" s="332">
        <v>0</v>
      </c>
    </row>
    <row r="21" spans="1:9" ht="9" customHeight="1">
      <c r="A21" s="52" t="s">
        <v>248</v>
      </c>
      <c r="B21" s="332">
        <v>7881</v>
      </c>
      <c r="C21" s="332">
        <v>1143</v>
      </c>
      <c r="D21" s="332">
        <v>59</v>
      </c>
      <c r="E21" s="332">
        <v>21</v>
      </c>
      <c r="F21" s="332">
        <v>287</v>
      </c>
      <c r="G21" s="332">
        <v>0</v>
      </c>
      <c r="H21" s="332">
        <v>7</v>
      </c>
      <c r="I21" s="332">
        <v>31</v>
      </c>
    </row>
    <row r="22" spans="1:9" ht="9" customHeight="1">
      <c r="A22" s="52" t="s">
        <v>249</v>
      </c>
      <c r="B22" s="332">
        <v>983</v>
      </c>
      <c r="C22" s="332">
        <v>5</v>
      </c>
      <c r="D22" s="332">
        <v>12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</row>
    <row r="23" spans="1:9" ht="9" customHeight="1">
      <c r="A23" s="52" t="s">
        <v>250</v>
      </c>
      <c r="B23" s="332">
        <v>37235</v>
      </c>
      <c r="C23" s="332">
        <v>944</v>
      </c>
      <c r="D23" s="332">
        <v>111</v>
      </c>
      <c r="E23" s="332">
        <v>86</v>
      </c>
      <c r="F23" s="332">
        <v>529</v>
      </c>
      <c r="G23" s="332">
        <v>62</v>
      </c>
      <c r="H23" s="332">
        <v>34</v>
      </c>
      <c r="I23" s="332">
        <v>0</v>
      </c>
    </row>
    <row r="24" spans="1:9" ht="9" customHeight="1">
      <c r="A24" s="52" t="s">
        <v>251</v>
      </c>
      <c r="B24" s="332">
        <v>24082</v>
      </c>
      <c r="C24" s="332">
        <v>460</v>
      </c>
      <c r="D24" s="332">
        <v>328</v>
      </c>
      <c r="E24" s="332">
        <v>75</v>
      </c>
      <c r="F24" s="332">
        <v>94</v>
      </c>
      <c r="G24" s="332">
        <v>0</v>
      </c>
      <c r="H24" s="332">
        <v>27</v>
      </c>
      <c r="I24" s="332">
        <v>3</v>
      </c>
    </row>
    <row r="25" spans="1:9" ht="9" customHeight="1">
      <c r="A25" s="52" t="s">
        <v>252</v>
      </c>
      <c r="B25" s="332">
        <v>699</v>
      </c>
      <c r="C25" s="332">
        <v>211</v>
      </c>
      <c r="D25" s="332">
        <v>91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</row>
    <row r="26" spans="1:9" ht="9" customHeight="1">
      <c r="A26" s="52" t="s">
        <v>253</v>
      </c>
      <c r="B26" s="332">
        <v>14024</v>
      </c>
      <c r="C26" s="332">
        <v>1026</v>
      </c>
      <c r="D26" s="332">
        <v>360</v>
      </c>
      <c r="E26" s="332">
        <v>0</v>
      </c>
      <c r="F26" s="332">
        <v>0</v>
      </c>
      <c r="G26" s="332">
        <v>44</v>
      </c>
      <c r="H26" s="332">
        <v>0</v>
      </c>
      <c r="I26" s="332">
        <v>0</v>
      </c>
    </row>
    <row r="27" spans="1:9" ht="9" customHeight="1">
      <c r="A27" s="52" t="s">
        <v>254</v>
      </c>
      <c r="B27" s="332">
        <v>14789</v>
      </c>
      <c r="C27" s="332">
        <v>2197</v>
      </c>
      <c r="D27" s="332">
        <v>388</v>
      </c>
      <c r="E27" s="332">
        <v>84</v>
      </c>
      <c r="F27" s="332">
        <v>47</v>
      </c>
      <c r="G27" s="332">
        <v>2</v>
      </c>
      <c r="H27" s="332">
        <v>27</v>
      </c>
      <c r="I27" s="332">
        <v>0</v>
      </c>
    </row>
    <row r="28" spans="1:9" ht="9" customHeight="1">
      <c r="A28" s="52" t="s">
        <v>255</v>
      </c>
      <c r="B28" s="332">
        <v>11153</v>
      </c>
      <c r="C28" s="332">
        <v>967</v>
      </c>
      <c r="D28" s="332">
        <v>80</v>
      </c>
      <c r="E28" s="332">
        <v>98</v>
      </c>
      <c r="F28" s="332">
        <v>182</v>
      </c>
      <c r="G28" s="332">
        <v>210</v>
      </c>
      <c r="H28" s="332">
        <v>20</v>
      </c>
      <c r="I28" s="332">
        <v>0</v>
      </c>
    </row>
    <row r="29" spans="1:9" s="201" customFormat="1" ht="9" customHeight="1">
      <c r="A29" s="227" t="s">
        <v>225</v>
      </c>
      <c r="B29" s="335">
        <v>601311</v>
      </c>
      <c r="C29" s="335">
        <v>54527</v>
      </c>
      <c r="D29" s="335">
        <v>9995</v>
      </c>
      <c r="E29" s="335">
        <v>69583</v>
      </c>
      <c r="F29" s="335">
        <v>8574</v>
      </c>
      <c r="G29" s="335">
        <v>7612</v>
      </c>
      <c r="H29" s="335">
        <v>669</v>
      </c>
      <c r="I29" s="335">
        <v>3416</v>
      </c>
    </row>
    <row r="30" spans="1:9" s="201" customFormat="1" ht="9" customHeight="1">
      <c r="A30" s="227" t="s">
        <v>256</v>
      </c>
      <c r="B30" s="335">
        <v>303461</v>
      </c>
      <c r="C30" s="335">
        <v>39085</v>
      </c>
      <c r="D30" s="335">
        <v>6116</v>
      </c>
      <c r="E30" s="335">
        <v>64960</v>
      </c>
      <c r="F30" s="335">
        <v>4290</v>
      </c>
      <c r="G30" s="335">
        <v>164</v>
      </c>
      <c r="H30" s="335">
        <v>384</v>
      </c>
      <c r="I30" s="335">
        <v>3377</v>
      </c>
    </row>
    <row r="31" spans="1:9" s="201" customFormat="1" ht="9" customHeight="1">
      <c r="A31" s="227" t="s">
        <v>257</v>
      </c>
      <c r="B31" s="335">
        <v>187003</v>
      </c>
      <c r="C31" s="335">
        <v>8489</v>
      </c>
      <c r="D31" s="335">
        <v>2451</v>
      </c>
      <c r="E31" s="335">
        <v>4258</v>
      </c>
      <c r="F31" s="335">
        <v>3146</v>
      </c>
      <c r="G31" s="335">
        <v>7131</v>
      </c>
      <c r="H31" s="335">
        <v>170</v>
      </c>
      <c r="I31" s="335">
        <v>4</v>
      </c>
    </row>
    <row r="32" spans="1:9" s="201" customFormat="1" ht="9" customHeight="1">
      <c r="A32" s="227" t="s">
        <v>258</v>
      </c>
      <c r="B32" s="335">
        <v>110847</v>
      </c>
      <c r="C32" s="335">
        <v>6954</v>
      </c>
      <c r="D32" s="335">
        <v>1428</v>
      </c>
      <c r="E32" s="335">
        <v>364</v>
      </c>
      <c r="F32" s="335">
        <v>1139</v>
      </c>
      <c r="G32" s="335">
        <v>318</v>
      </c>
      <c r="H32" s="335">
        <v>115</v>
      </c>
      <c r="I32" s="335">
        <v>35</v>
      </c>
    </row>
    <row r="33" spans="1:9" s="201" customFormat="1" ht="9" customHeight="1">
      <c r="A33" s="227"/>
      <c r="B33" s="263"/>
      <c r="C33" s="265"/>
      <c r="D33" s="265"/>
      <c r="E33" s="265"/>
      <c r="F33" s="265"/>
      <c r="G33" s="265"/>
      <c r="H33" s="265"/>
      <c r="I33" s="265"/>
    </row>
    <row r="34" spans="1:9" ht="9" customHeight="1">
      <c r="A34" s="53"/>
      <c r="B34" s="43"/>
      <c r="C34" s="266"/>
      <c r="D34" s="266"/>
      <c r="E34" s="266"/>
      <c r="F34" s="266"/>
      <c r="G34" s="266"/>
      <c r="H34" s="266"/>
      <c r="I34" s="266"/>
    </row>
    <row r="35" spans="1:9" ht="12" customHeight="1">
      <c r="A35" s="369" t="s">
        <v>226</v>
      </c>
      <c r="B35" s="268" t="s">
        <v>12</v>
      </c>
      <c r="C35" s="268" t="s">
        <v>259</v>
      </c>
      <c r="D35" s="268" t="s">
        <v>28</v>
      </c>
      <c r="E35" s="268" t="s">
        <v>260</v>
      </c>
      <c r="F35" s="268" t="s">
        <v>261</v>
      </c>
      <c r="G35" s="268" t="s">
        <v>262</v>
      </c>
      <c r="H35" s="268" t="s">
        <v>263</v>
      </c>
      <c r="I35" s="268" t="s">
        <v>0</v>
      </c>
    </row>
    <row r="36" spans="1:9" ht="12" customHeight="1">
      <c r="A36" s="399"/>
      <c r="B36" s="77"/>
      <c r="C36" s="77" t="s">
        <v>264</v>
      </c>
      <c r="D36" s="77"/>
      <c r="E36" s="77" t="s">
        <v>2</v>
      </c>
      <c r="F36" s="77" t="s">
        <v>265</v>
      </c>
      <c r="G36" s="77" t="s">
        <v>266</v>
      </c>
      <c r="H36" s="77" t="s">
        <v>267</v>
      </c>
      <c r="I36" s="77"/>
    </row>
    <row r="37" spans="1:9" ht="9" customHeight="1">
      <c r="A37" s="338"/>
      <c r="B37" s="211"/>
      <c r="H37" s="267"/>
      <c r="I37" s="267"/>
    </row>
    <row r="38" spans="1:9" ht="8.25">
      <c r="A38" s="52" t="s">
        <v>234</v>
      </c>
      <c r="B38" s="332">
        <v>7</v>
      </c>
      <c r="C38" s="332">
        <v>3</v>
      </c>
      <c r="D38" s="332">
        <v>2</v>
      </c>
      <c r="E38" s="332">
        <v>0</v>
      </c>
      <c r="F38" s="332">
        <v>0</v>
      </c>
      <c r="G38" s="332">
        <v>2</v>
      </c>
      <c r="H38" s="332">
        <v>1104</v>
      </c>
      <c r="I38" s="332">
        <v>53514</v>
      </c>
    </row>
    <row r="39" spans="1:9" ht="8.25">
      <c r="A39" s="52" t="s">
        <v>235</v>
      </c>
      <c r="B39" s="332">
        <v>0</v>
      </c>
      <c r="C39" s="332">
        <v>0</v>
      </c>
      <c r="D39" s="332">
        <v>0</v>
      </c>
      <c r="E39" s="332">
        <v>0</v>
      </c>
      <c r="F39" s="332">
        <v>0</v>
      </c>
      <c r="G39" s="332">
        <v>0</v>
      </c>
      <c r="H39" s="332">
        <v>35</v>
      </c>
      <c r="I39" s="332">
        <v>586</v>
      </c>
    </row>
    <row r="40" spans="1:9" ht="8.25">
      <c r="A40" s="52" t="s">
        <v>236</v>
      </c>
      <c r="B40" s="332">
        <v>577</v>
      </c>
      <c r="C40" s="332">
        <v>60</v>
      </c>
      <c r="D40" s="332">
        <v>108</v>
      </c>
      <c r="E40" s="332">
        <v>14</v>
      </c>
      <c r="F40" s="332">
        <v>296</v>
      </c>
      <c r="G40" s="332">
        <v>6</v>
      </c>
      <c r="H40" s="332">
        <v>872</v>
      </c>
      <c r="I40" s="332">
        <v>160837</v>
      </c>
    </row>
    <row r="41" spans="1:9" ht="8.25">
      <c r="A41" s="52" t="s">
        <v>237</v>
      </c>
      <c r="B41" s="332">
        <v>28</v>
      </c>
      <c r="C41" s="332">
        <v>6</v>
      </c>
      <c r="D41" s="332">
        <v>0</v>
      </c>
      <c r="E41" s="332">
        <v>0</v>
      </c>
      <c r="F41" s="332">
        <v>10</v>
      </c>
      <c r="G41" s="332">
        <v>0</v>
      </c>
      <c r="H41" s="332">
        <v>329</v>
      </c>
      <c r="I41" s="332">
        <v>4108</v>
      </c>
    </row>
    <row r="42" spans="1:9" s="212" customFormat="1" ht="8.25">
      <c r="A42" s="260" t="s">
        <v>238</v>
      </c>
      <c r="B42" s="341">
        <v>0</v>
      </c>
      <c r="C42" s="341">
        <v>6</v>
      </c>
      <c r="D42" s="341">
        <v>0</v>
      </c>
      <c r="E42" s="341">
        <v>0</v>
      </c>
      <c r="F42" s="341">
        <v>0</v>
      </c>
      <c r="G42" s="341">
        <v>0</v>
      </c>
      <c r="H42" s="341">
        <v>280</v>
      </c>
      <c r="I42" s="341">
        <v>2613</v>
      </c>
    </row>
    <row r="43" spans="1:9" s="212" customFormat="1" ht="8.25">
      <c r="A43" s="260" t="s">
        <v>239</v>
      </c>
      <c r="B43" s="341">
        <v>28</v>
      </c>
      <c r="C43" s="341">
        <v>0</v>
      </c>
      <c r="D43" s="341">
        <v>0</v>
      </c>
      <c r="E43" s="341">
        <v>0</v>
      </c>
      <c r="F43" s="341">
        <v>10</v>
      </c>
      <c r="G43" s="341">
        <v>0</v>
      </c>
      <c r="H43" s="341">
        <v>49</v>
      </c>
      <c r="I43" s="341">
        <v>1495</v>
      </c>
    </row>
    <row r="44" spans="1:9" ht="8.25">
      <c r="A44" s="52" t="s">
        <v>240</v>
      </c>
      <c r="B44" s="332">
        <v>704</v>
      </c>
      <c r="C44" s="332">
        <v>4</v>
      </c>
      <c r="D44" s="332">
        <v>1054</v>
      </c>
      <c r="E44" s="332">
        <v>0</v>
      </c>
      <c r="F44" s="332">
        <v>13</v>
      </c>
      <c r="G44" s="332">
        <v>0</v>
      </c>
      <c r="H44" s="332">
        <v>1143</v>
      </c>
      <c r="I44" s="332">
        <v>44494</v>
      </c>
    </row>
    <row r="45" spans="1:9" ht="8.25">
      <c r="A45" s="52" t="s">
        <v>241</v>
      </c>
      <c r="B45" s="332">
        <v>3</v>
      </c>
      <c r="C45" s="332">
        <v>3</v>
      </c>
      <c r="D45" s="332">
        <v>0</v>
      </c>
      <c r="E45" s="332">
        <v>0</v>
      </c>
      <c r="F45" s="332">
        <v>0</v>
      </c>
      <c r="G45" s="332">
        <v>0</v>
      </c>
      <c r="H45" s="332">
        <v>133</v>
      </c>
      <c r="I45" s="332">
        <v>19405</v>
      </c>
    </row>
    <row r="46" spans="1:9" ht="8.25">
      <c r="A46" s="52" t="s">
        <v>242</v>
      </c>
      <c r="B46" s="332">
        <v>0</v>
      </c>
      <c r="C46" s="332">
        <v>25</v>
      </c>
      <c r="D46" s="332">
        <v>131</v>
      </c>
      <c r="E46" s="332">
        <v>0</v>
      </c>
      <c r="F46" s="332">
        <v>0</v>
      </c>
      <c r="G46" s="332">
        <v>142</v>
      </c>
      <c r="H46" s="332">
        <v>199</v>
      </c>
      <c r="I46" s="332">
        <v>17878</v>
      </c>
    </row>
    <row r="47" spans="1:9" ht="8.25">
      <c r="A47" s="52" t="s">
        <v>243</v>
      </c>
      <c r="B47" s="332">
        <v>196</v>
      </c>
      <c r="C47" s="332">
        <v>7</v>
      </c>
      <c r="D47" s="332">
        <v>109</v>
      </c>
      <c r="E47" s="332">
        <v>409</v>
      </c>
      <c r="F47" s="332">
        <v>366</v>
      </c>
      <c r="G47" s="332">
        <v>0</v>
      </c>
      <c r="H47" s="332">
        <v>792</v>
      </c>
      <c r="I47" s="332">
        <v>129908</v>
      </c>
    </row>
    <row r="48" spans="1:9" ht="8.25">
      <c r="A48" s="52" t="s">
        <v>244</v>
      </c>
      <c r="B48" s="332">
        <v>57</v>
      </c>
      <c r="C48" s="332">
        <v>19</v>
      </c>
      <c r="D48" s="332">
        <v>39</v>
      </c>
      <c r="E48" s="332">
        <v>60</v>
      </c>
      <c r="F48" s="332">
        <v>12</v>
      </c>
      <c r="G48" s="332">
        <v>361</v>
      </c>
      <c r="H48" s="332">
        <v>379</v>
      </c>
      <c r="I48" s="332">
        <v>78479</v>
      </c>
    </row>
    <row r="49" spans="1:9" ht="8.25">
      <c r="A49" s="52" t="s">
        <v>245</v>
      </c>
      <c r="B49" s="332">
        <v>0</v>
      </c>
      <c r="C49" s="332">
        <v>1</v>
      </c>
      <c r="D49" s="332">
        <v>0</v>
      </c>
      <c r="E49" s="332">
        <v>0</v>
      </c>
      <c r="F49" s="332">
        <v>0</v>
      </c>
      <c r="G49" s="332">
        <v>0</v>
      </c>
      <c r="H49" s="332">
        <v>119</v>
      </c>
      <c r="I49" s="332">
        <v>20617</v>
      </c>
    </row>
    <row r="50" spans="1:9" ht="8.25">
      <c r="A50" s="52" t="s">
        <v>246</v>
      </c>
      <c r="B50" s="332">
        <v>2</v>
      </c>
      <c r="C50" s="332">
        <v>0</v>
      </c>
      <c r="D50" s="332">
        <v>0</v>
      </c>
      <c r="E50" s="332">
        <v>0</v>
      </c>
      <c r="F50" s="332">
        <v>0</v>
      </c>
      <c r="G50" s="332">
        <v>19</v>
      </c>
      <c r="H50" s="332">
        <v>149</v>
      </c>
      <c r="I50" s="332">
        <v>14066</v>
      </c>
    </row>
    <row r="51" spans="1:9" ht="8.25">
      <c r="A51" s="52" t="s">
        <v>247</v>
      </c>
      <c r="B51" s="332">
        <v>0</v>
      </c>
      <c r="C51" s="332">
        <v>79</v>
      </c>
      <c r="D51" s="332">
        <v>46</v>
      </c>
      <c r="E51" s="332">
        <v>98</v>
      </c>
      <c r="F51" s="332">
        <v>637</v>
      </c>
      <c r="G51" s="332">
        <v>120</v>
      </c>
      <c r="H51" s="332">
        <v>517</v>
      </c>
      <c r="I51" s="332">
        <v>102202</v>
      </c>
    </row>
    <row r="52" spans="1:9" ht="8.25">
      <c r="A52" s="52" t="s">
        <v>248</v>
      </c>
      <c r="B52" s="332">
        <v>0</v>
      </c>
      <c r="C52" s="332">
        <v>9</v>
      </c>
      <c r="D52" s="332">
        <v>136</v>
      </c>
      <c r="E52" s="332">
        <v>0</v>
      </c>
      <c r="F52" s="332">
        <v>0</v>
      </c>
      <c r="G52" s="332">
        <v>29</v>
      </c>
      <c r="H52" s="332">
        <v>185</v>
      </c>
      <c r="I52" s="332">
        <v>9788</v>
      </c>
    </row>
    <row r="53" spans="1:9" ht="8.25">
      <c r="A53" s="52" t="s">
        <v>249</v>
      </c>
      <c r="B53" s="332">
        <v>0</v>
      </c>
      <c r="C53" s="332">
        <v>0</v>
      </c>
      <c r="D53" s="332">
        <v>0</v>
      </c>
      <c r="E53" s="332">
        <v>0</v>
      </c>
      <c r="F53" s="332">
        <v>0</v>
      </c>
      <c r="G53" s="332">
        <v>0</v>
      </c>
      <c r="H53" s="332">
        <v>10</v>
      </c>
      <c r="I53" s="332">
        <v>1010</v>
      </c>
    </row>
    <row r="54" spans="1:9" ht="8.25">
      <c r="A54" s="52" t="s">
        <v>250</v>
      </c>
      <c r="B54" s="332">
        <v>0</v>
      </c>
      <c r="C54" s="332">
        <v>0</v>
      </c>
      <c r="D54" s="332">
        <v>4</v>
      </c>
      <c r="E54" s="332">
        <v>1</v>
      </c>
      <c r="F54" s="332">
        <v>0</v>
      </c>
      <c r="G54" s="332">
        <v>61</v>
      </c>
      <c r="H54" s="332">
        <v>133</v>
      </c>
      <c r="I54" s="332">
        <v>39198</v>
      </c>
    </row>
    <row r="55" spans="1:9" ht="8.25">
      <c r="A55" s="52" t="s">
        <v>251</v>
      </c>
      <c r="B55" s="332">
        <v>0</v>
      </c>
      <c r="C55" s="332">
        <v>1</v>
      </c>
      <c r="D55" s="332">
        <v>0</v>
      </c>
      <c r="E55" s="332">
        <v>0</v>
      </c>
      <c r="F55" s="332">
        <v>0</v>
      </c>
      <c r="G55" s="332">
        <v>0</v>
      </c>
      <c r="H55" s="332">
        <v>94</v>
      </c>
      <c r="I55" s="332">
        <v>25164</v>
      </c>
    </row>
    <row r="56" spans="1:9" ht="8.25">
      <c r="A56" s="52" t="s">
        <v>252</v>
      </c>
      <c r="B56" s="332">
        <v>0</v>
      </c>
      <c r="C56" s="332">
        <v>0</v>
      </c>
      <c r="D56" s="332">
        <v>0</v>
      </c>
      <c r="E56" s="332">
        <v>0</v>
      </c>
      <c r="F56" s="332">
        <v>0</v>
      </c>
      <c r="G56" s="332">
        <v>0</v>
      </c>
      <c r="H56" s="332">
        <v>8</v>
      </c>
      <c r="I56" s="332">
        <v>1009</v>
      </c>
    </row>
    <row r="57" spans="1:9" ht="8.25">
      <c r="A57" s="52" t="s">
        <v>253</v>
      </c>
      <c r="B57" s="332">
        <v>0</v>
      </c>
      <c r="C57" s="332">
        <v>0</v>
      </c>
      <c r="D57" s="332">
        <v>0</v>
      </c>
      <c r="E57" s="332">
        <v>0</v>
      </c>
      <c r="F57" s="332">
        <v>6</v>
      </c>
      <c r="G57" s="332">
        <v>0</v>
      </c>
      <c r="H57" s="332">
        <v>119</v>
      </c>
      <c r="I57" s="332">
        <v>15580</v>
      </c>
    </row>
    <row r="58" spans="1:9" ht="8.25">
      <c r="A58" s="52" t="s">
        <v>254</v>
      </c>
      <c r="B58" s="332">
        <v>1</v>
      </c>
      <c r="C58" s="332">
        <v>13</v>
      </c>
      <c r="D58" s="332">
        <v>0</v>
      </c>
      <c r="E58" s="332">
        <v>0</v>
      </c>
      <c r="F58" s="332">
        <v>0</v>
      </c>
      <c r="G58" s="332">
        <v>1</v>
      </c>
      <c r="H58" s="332">
        <v>102</v>
      </c>
      <c r="I58" s="332">
        <v>17650</v>
      </c>
    </row>
    <row r="59" spans="1:9" ht="8.25">
      <c r="A59" s="52" t="s">
        <v>255</v>
      </c>
      <c r="B59" s="332">
        <v>0</v>
      </c>
      <c r="C59" s="332">
        <v>0</v>
      </c>
      <c r="D59" s="332">
        <v>0</v>
      </c>
      <c r="E59" s="332">
        <v>0</v>
      </c>
      <c r="F59" s="332">
        <v>49</v>
      </c>
      <c r="G59" s="332">
        <v>13</v>
      </c>
      <c r="H59" s="332">
        <v>82</v>
      </c>
      <c r="I59" s="332">
        <v>12853</v>
      </c>
    </row>
    <row r="60" spans="1:9" ht="8.25">
      <c r="A60" s="227" t="s">
        <v>225</v>
      </c>
      <c r="B60" s="335">
        <v>1574</v>
      </c>
      <c r="C60" s="335">
        <v>231</v>
      </c>
      <c r="D60" s="335">
        <v>1629</v>
      </c>
      <c r="E60" s="335">
        <v>582</v>
      </c>
      <c r="F60" s="335">
        <v>1388</v>
      </c>
      <c r="G60" s="335">
        <v>753</v>
      </c>
      <c r="H60" s="335">
        <v>6502</v>
      </c>
      <c r="I60" s="335">
        <v>768347</v>
      </c>
    </row>
    <row r="61" spans="1:9" ht="8.25">
      <c r="A61" s="227" t="s">
        <v>256</v>
      </c>
      <c r="B61" s="335">
        <v>1514</v>
      </c>
      <c r="C61" s="335">
        <v>108</v>
      </c>
      <c r="D61" s="335">
        <v>1405</v>
      </c>
      <c r="E61" s="335">
        <v>423</v>
      </c>
      <c r="F61" s="335">
        <v>685</v>
      </c>
      <c r="G61" s="335">
        <v>150</v>
      </c>
      <c r="H61" s="335">
        <v>4607</v>
      </c>
      <c r="I61" s="335">
        <v>430729</v>
      </c>
    </row>
    <row r="62" spans="1:9" ht="8.25">
      <c r="A62" s="227" t="s">
        <v>257</v>
      </c>
      <c r="B62" s="335">
        <v>59</v>
      </c>
      <c r="C62" s="335">
        <v>99</v>
      </c>
      <c r="D62" s="335">
        <v>84</v>
      </c>
      <c r="E62" s="335">
        <v>158</v>
      </c>
      <c r="F62" s="335">
        <v>649</v>
      </c>
      <c r="G62" s="335">
        <v>500</v>
      </c>
      <c r="H62" s="335">
        <v>1163</v>
      </c>
      <c r="I62" s="335">
        <v>215364</v>
      </c>
    </row>
    <row r="63" spans="1:9" ht="8.25">
      <c r="A63" s="227" t="s">
        <v>258</v>
      </c>
      <c r="B63" s="335">
        <v>1</v>
      </c>
      <c r="C63" s="335">
        <v>23</v>
      </c>
      <c r="D63" s="335">
        <v>139</v>
      </c>
      <c r="E63" s="335">
        <v>1</v>
      </c>
      <c r="F63" s="335">
        <v>55</v>
      </c>
      <c r="G63" s="335">
        <v>103</v>
      </c>
      <c r="H63" s="335">
        <v>731</v>
      </c>
      <c r="I63" s="335">
        <v>122253</v>
      </c>
    </row>
    <row r="64" spans="1:9" ht="8.25">
      <c r="A64" s="54"/>
      <c r="B64" s="269"/>
      <c r="C64" s="269"/>
      <c r="D64" s="269"/>
      <c r="E64" s="269"/>
      <c r="F64" s="269"/>
      <c r="G64" s="269"/>
      <c r="H64" s="269"/>
      <c r="I64" s="269"/>
    </row>
  </sheetData>
  <mergeCells count="3">
    <mergeCell ref="A3:I3"/>
    <mergeCell ref="A4:A5"/>
    <mergeCell ref="A35:A36"/>
  </mergeCells>
  <printOptions horizontalCentered="1"/>
  <pageMargins left="0.984251968503937" right="0.984251968503937" top="1.1811023622047245" bottom="1.5748031496062993" header="0" footer="1.1811023622047245"/>
  <pageSetup firstPageNumber="190" useFirstPageNumber="1" horizontalDpi="300" verticalDpi="300" orientation="portrait" paperSize="9" r:id="rId1"/>
  <headerFooter alignWithMargins="0">
    <oddFooter>&amp;C&amp;9 190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69"/>
  <sheetViews>
    <sheetView showGridLines="0" workbookViewId="0" topLeftCell="A45">
      <selection activeCell="J58" sqref="J58"/>
    </sheetView>
  </sheetViews>
  <sheetFormatPr defaultColWidth="9.140625" defaultRowHeight="12.75"/>
  <cols>
    <col min="1" max="1" width="13.00390625" style="270" customWidth="1"/>
    <col min="2" max="4" width="7.57421875" style="109" customWidth="1"/>
    <col min="5" max="5" width="10.8515625" style="109" customWidth="1"/>
    <col min="6" max="9" width="7.57421875" style="109" customWidth="1"/>
    <col min="10" max="16384" width="8.7109375" style="109" customWidth="1"/>
  </cols>
  <sheetData>
    <row r="1" ht="9" customHeight="1"/>
    <row r="2" spans="1:8" s="216" customFormat="1" ht="11.25" customHeight="1">
      <c r="A2" s="271" t="s">
        <v>457</v>
      </c>
      <c r="B2" s="215"/>
      <c r="C2" s="215"/>
      <c r="D2" s="215"/>
      <c r="E2" s="215"/>
      <c r="F2" s="215"/>
      <c r="G2" s="215"/>
      <c r="H2" s="215"/>
    </row>
    <row r="3" spans="1:8" s="216" customFormat="1" ht="11.25" customHeight="1">
      <c r="A3" s="271" t="s">
        <v>458</v>
      </c>
      <c r="B3" s="215"/>
      <c r="C3" s="215"/>
      <c r="D3" s="215"/>
      <c r="E3" s="215"/>
      <c r="F3" s="215"/>
      <c r="G3" s="215"/>
      <c r="H3" s="215"/>
    </row>
    <row r="4" spans="1:8" s="216" customFormat="1" ht="13.5" customHeight="1">
      <c r="A4" s="271"/>
      <c r="B4" s="215"/>
      <c r="C4" s="215"/>
      <c r="D4" s="215"/>
      <c r="E4" s="215"/>
      <c r="F4" s="215"/>
      <c r="G4" s="215"/>
      <c r="H4" s="215"/>
    </row>
    <row r="5" spans="1:13" s="214" customFormat="1" ht="9" customHeight="1">
      <c r="A5" s="272"/>
      <c r="B5" s="217"/>
      <c r="C5" s="217"/>
      <c r="D5" s="217"/>
      <c r="E5" s="217"/>
      <c r="F5" s="218"/>
      <c r="G5" s="218"/>
      <c r="H5" s="217"/>
      <c r="I5" s="217"/>
      <c r="K5" s="216"/>
      <c r="L5" s="216"/>
      <c r="M5" s="216"/>
    </row>
    <row r="6" spans="1:17" s="214" customFormat="1" ht="10.5" customHeight="1">
      <c r="A6" s="400" t="s">
        <v>226</v>
      </c>
      <c r="B6" s="268" t="s">
        <v>9</v>
      </c>
      <c r="C6" s="268" t="s">
        <v>227</v>
      </c>
      <c r="D6" s="268" t="s">
        <v>25</v>
      </c>
      <c r="E6" s="268" t="s">
        <v>228</v>
      </c>
      <c r="F6" s="282" t="s">
        <v>229</v>
      </c>
      <c r="G6" s="268" t="s">
        <v>35</v>
      </c>
      <c r="H6" s="268" t="s">
        <v>27</v>
      </c>
      <c r="I6" s="268" t="s">
        <v>446</v>
      </c>
      <c r="J6" s="3"/>
      <c r="K6" s="173"/>
      <c r="L6" s="173"/>
      <c r="M6" s="173"/>
      <c r="N6" s="173"/>
      <c r="O6" s="173"/>
      <c r="P6" s="173"/>
      <c r="Q6" s="173"/>
    </row>
    <row r="7" spans="1:17" s="215" customFormat="1" ht="10.5" customHeight="1">
      <c r="A7" s="401"/>
      <c r="B7" s="77"/>
      <c r="C7" s="77" t="s">
        <v>230</v>
      </c>
      <c r="D7" s="77"/>
      <c r="E7" s="77" t="s">
        <v>231</v>
      </c>
      <c r="F7" s="283" t="s">
        <v>232</v>
      </c>
      <c r="G7" s="77"/>
      <c r="H7" s="77"/>
      <c r="I7" s="77" t="s">
        <v>233</v>
      </c>
      <c r="J7" s="3"/>
      <c r="K7" s="173"/>
      <c r="L7" s="173"/>
      <c r="M7" s="173"/>
      <c r="N7" s="173"/>
      <c r="O7" s="173"/>
      <c r="P7" s="173"/>
      <c r="Q7" s="173"/>
    </row>
    <row r="8" spans="1:17" s="215" customFormat="1" ht="9" customHeight="1">
      <c r="A8" s="275"/>
      <c r="B8" s="3"/>
      <c r="C8" s="3"/>
      <c r="D8" s="3"/>
      <c r="E8" s="3"/>
      <c r="F8" s="3"/>
      <c r="G8" s="3"/>
      <c r="H8" s="3"/>
      <c r="I8" s="3"/>
      <c r="J8" s="173"/>
      <c r="K8" s="173"/>
      <c r="L8" s="173"/>
      <c r="M8" s="173"/>
      <c r="N8" s="173"/>
      <c r="O8" s="173"/>
      <c r="P8" s="173"/>
      <c r="Q8" s="173"/>
    </row>
    <row r="9" spans="1:9" ht="9" customHeight="1">
      <c r="A9" s="276" t="s">
        <v>234</v>
      </c>
      <c r="B9" s="219">
        <f>4269800/48162</f>
        <v>88.65495618952701</v>
      </c>
      <c r="C9" s="219">
        <f>117100/1435</f>
        <v>81.602787456446</v>
      </c>
      <c r="D9" s="219">
        <f>96900/1157</f>
        <v>83.75108038029386</v>
      </c>
      <c r="E9" s="219">
        <f>18700/810</f>
        <v>23.08641975308642</v>
      </c>
      <c r="F9" s="219">
        <f>51300/526</f>
        <v>97.52851711026616</v>
      </c>
      <c r="G9" s="219">
        <v>0</v>
      </c>
      <c r="H9" s="219">
        <f>500/11</f>
        <v>45.45454545454545</v>
      </c>
      <c r="I9" s="219">
        <f>3000/295</f>
        <v>10.169491525423728</v>
      </c>
    </row>
    <row r="10" spans="1:9" ht="9" customHeight="1">
      <c r="A10" s="276" t="s">
        <v>235</v>
      </c>
      <c r="B10" s="219">
        <f>17400/405</f>
        <v>42.96296296296296</v>
      </c>
      <c r="C10" s="219">
        <f>500/5</f>
        <v>100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f>1000/135</f>
        <v>7.407407407407407</v>
      </c>
    </row>
    <row r="11" spans="1:9" ht="9" customHeight="1">
      <c r="A11" s="276" t="s">
        <v>236</v>
      </c>
      <c r="B11" s="219">
        <f>10467300/117854</f>
        <v>88.81582296740034</v>
      </c>
      <c r="C11" s="219">
        <f>496100/9667</f>
        <v>51.3189200372401</v>
      </c>
      <c r="D11" s="219">
        <f>55800/1248</f>
        <v>44.71153846153846</v>
      </c>
      <c r="E11" s="219">
        <f>17200/27775</f>
        <v>0.6192619261926192</v>
      </c>
      <c r="F11" s="219">
        <f>186400/1864</f>
        <v>100</v>
      </c>
      <c r="G11" s="219">
        <v>0</v>
      </c>
      <c r="H11" s="219">
        <f>1900/90</f>
        <v>21.11111111111111</v>
      </c>
      <c r="I11" s="219">
        <f>30600/383</f>
        <v>79.89556135770235</v>
      </c>
    </row>
    <row r="12" spans="1:9" ht="9" customHeight="1">
      <c r="A12" s="276" t="s">
        <v>237</v>
      </c>
      <c r="B12" s="219">
        <f>33700/1069</f>
        <v>31.524789522918617</v>
      </c>
      <c r="C12" s="219">
        <f>600/66</f>
        <v>9.090909090909092</v>
      </c>
      <c r="D12" s="219">
        <f>12700/141</f>
        <v>90.0709219858156</v>
      </c>
      <c r="E12" s="219">
        <f>4000/124</f>
        <v>32.25806451612903</v>
      </c>
      <c r="F12" s="219">
        <f>0</f>
        <v>0</v>
      </c>
      <c r="G12" s="219">
        <v>0</v>
      </c>
      <c r="H12" s="219">
        <v>45.5</v>
      </c>
      <c r="I12" s="219">
        <f>56900/1920</f>
        <v>29.635416666666668</v>
      </c>
    </row>
    <row r="13" spans="1:9" s="220" customFormat="1" ht="9" customHeight="1">
      <c r="A13" s="277" t="s">
        <v>238</v>
      </c>
      <c r="B13" s="339">
        <f>11600/368</f>
        <v>31.52173913043478</v>
      </c>
      <c r="C13" s="339">
        <f>600/7</f>
        <v>85.71428571428571</v>
      </c>
      <c r="D13" s="339">
        <v>0</v>
      </c>
      <c r="E13" s="339">
        <v>0</v>
      </c>
      <c r="F13" s="339">
        <v>0</v>
      </c>
      <c r="G13" s="339">
        <v>0</v>
      </c>
      <c r="H13" s="339">
        <v>100</v>
      </c>
      <c r="I13" s="339">
        <f>56800/1543</f>
        <v>36.81140635126377</v>
      </c>
    </row>
    <row r="14" spans="1:9" s="220" customFormat="1" ht="9" customHeight="1">
      <c r="A14" s="277" t="s">
        <v>239</v>
      </c>
      <c r="B14" s="339">
        <f>22100/701</f>
        <v>31.52639087018545</v>
      </c>
      <c r="C14" s="339">
        <f>0/59</f>
        <v>0</v>
      </c>
      <c r="D14" s="339">
        <f>12700/141</f>
        <v>90.0709219858156</v>
      </c>
      <c r="E14" s="339">
        <f>4000/124</f>
        <v>32.25806451612903</v>
      </c>
      <c r="F14" s="339">
        <v>0</v>
      </c>
      <c r="G14" s="339">
        <v>0</v>
      </c>
      <c r="H14" s="339">
        <v>0</v>
      </c>
      <c r="I14" s="339">
        <f>100/377</f>
        <v>0.26525198938992045</v>
      </c>
    </row>
    <row r="15" spans="1:9" ht="9" customHeight="1">
      <c r="A15" s="276" t="s">
        <v>240</v>
      </c>
      <c r="B15" s="219">
        <f>2873500/33834</f>
        <v>84.92936099781285</v>
      </c>
      <c r="C15" s="219">
        <f>427900/4464</f>
        <v>95.85573476702508</v>
      </c>
      <c r="D15" s="219">
        <f>75900/922</f>
        <v>82.32104121475054</v>
      </c>
      <c r="E15" s="219">
        <f>21300/1240</f>
        <v>17.177419354838708</v>
      </c>
      <c r="F15" s="219">
        <f>23700/332</f>
        <v>71.3855421686747</v>
      </c>
      <c r="G15" s="219">
        <f>4300/43</f>
        <v>100</v>
      </c>
      <c r="H15" s="219">
        <f>1000/109</f>
        <v>9.174311926605505</v>
      </c>
      <c r="I15" s="219">
        <f>2300/630</f>
        <v>3.6507936507936507</v>
      </c>
    </row>
    <row r="16" spans="1:9" ht="9" customHeight="1">
      <c r="A16" s="276" t="s">
        <v>241</v>
      </c>
      <c r="B16" s="219">
        <f>1479300/16434</f>
        <v>90.01460387002555</v>
      </c>
      <c r="C16" s="219">
        <f>228100/2426</f>
        <v>94.02308326463314</v>
      </c>
      <c r="D16" s="219">
        <f>12100/159</f>
        <v>76.1006289308176</v>
      </c>
      <c r="E16" s="219">
        <v>0</v>
      </c>
      <c r="F16" s="219">
        <f>10200/102</f>
        <v>100</v>
      </c>
      <c r="G16" s="219">
        <v>0</v>
      </c>
      <c r="H16" s="219">
        <f>800/27</f>
        <v>29.62962962962963</v>
      </c>
      <c r="I16" s="219">
        <v>0</v>
      </c>
    </row>
    <row r="17" spans="1:9" ht="9" customHeight="1">
      <c r="A17" s="276" t="s">
        <v>242</v>
      </c>
      <c r="B17" s="219">
        <f>1571200/16963</f>
        <v>92.62512527265224</v>
      </c>
      <c r="C17" s="219">
        <f>6200/93</f>
        <v>66.66666666666667</v>
      </c>
      <c r="D17" s="219">
        <f>6200/116</f>
        <v>53.44827586206897</v>
      </c>
      <c r="E17" s="219">
        <f>2400/129</f>
        <v>18.6046511627907</v>
      </c>
      <c r="F17" s="219">
        <v>0</v>
      </c>
      <c r="G17" s="219">
        <v>0</v>
      </c>
      <c r="H17" s="219">
        <f>1600/22</f>
        <v>72.72727272727273</v>
      </c>
      <c r="I17" s="109">
        <v>0</v>
      </c>
    </row>
    <row r="18" spans="1:9" ht="9" customHeight="1">
      <c r="A18" s="276" t="s">
        <v>243</v>
      </c>
      <c r="B18" s="219">
        <f>5964000/68739</f>
        <v>86.76297298476847</v>
      </c>
      <c r="C18" s="219">
        <f>545500/20929</f>
        <v>26.06431267619093</v>
      </c>
      <c r="D18" s="219">
        <f>218100/2371</f>
        <v>91.98650358498524</v>
      </c>
      <c r="E18" s="219">
        <f>742700/34771</f>
        <v>21.359753817836705</v>
      </c>
      <c r="F18" s="219">
        <f>66500/1104</f>
        <v>60.23550724637681</v>
      </c>
      <c r="G18" s="219">
        <v>0</v>
      </c>
      <c r="H18" s="219">
        <f>6800/115</f>
        <v>59.130434782608695</v>
      </c>
      <c r="I18" s="109">
        <v>0</v>
      </c>
    </row>
    <row r="19" spans="1:9" ht="9" customHeight="1">
      <c r="A19" s="276" t="s">
        <v>244</v>
      </c>
      <c r="B19" s="219">
        <f>5350500/69034</f>
        <v>77.50528724976098</v>
      </c>
      <c r="C19" s="219">
        <f>187000/3111</f>
        <v>60.10928961748634</v>
      </c>
      <c r="D19" s="219">
        <f>18300/329</f>
        <v>55.62310030395137</v>
      </c>
      <c r="E19" s="219">
        <f>1700/3019</f>
        <v>0.5631003643590593</v>
      </c>
      <c r="F19" s="219">
        <f>114800/1967</f>
        <v>58.362989323843415</v>
      </c>
      <c r="G19" s="219">
        <v>0</v>
      </c>
      <c r="H19" s="219">
        <f>3500/74</f>
        <v>47.2972972972973</v>
      </c>
      <c r="I19" s="109">
        <v>0</v>
      </c>
    </row>
    <row r="20" spans="1:9" ht="9" customHeight="1">
      <c r="A20" s="276" t="s">
        <v>245</v>
      </c>
      <c r="B20" s="219">
        <f>1816300/19754</f>
        <v>91.94593500050622</v>
      </c>
      <c r="C20" s="219">
        <f>3700/153</f>
        <v>24.18300653594771</v>
      </c>
      <c r="D20" s="219">
        <f>17600/206</f>
        <v>85.4368932038835</v>
      </c>
      <c r="E20" s="219">
        <f>0</f>
        <v>0</v>
      </c>
      <c r="F20" s="219">
        <v>0</v>
      </c>
      <c r="G20" s="219">
        <v>0</v>
      </c>
      <c r="H20" s="219">
        <v>0</v>
      </c>
      <c r="I20" s="109">
        <v>0</v>
      </c>
    </row>
    <row r="21" spans="1:9" ht="9" customHeight="1">
      <c r="A21" s="276" t="s">
        <v>246</v>
      </c>
      <c r="B21" s="219">
        <f>378100/8119</f>
        <v>46.569774602783596</v>
      </c>
      <c r="C21" s="219">
        <f>189100/3609</f>
        <v>52.39678581324467</v>
      </c>
      <c r="D21" s="219">
        <f>63300/1288</f>
        <v>49.14596273291925</v>
      </c>
      <c r="E21" s="219">
        <v>0</v>
      </c>
      <c r="F21" s="219">
        <v>0</v>
      </c>
      <c r="G21" s="219">
        <f>20800/208</f>
        <v>100</v>
      </c>
      <c r="H21" s="219">
        <v>100</v>
      </c>
      <c r="I21" s="109">
        <v>0</v>
      </c>
    </row>
    <row r="22" spans="1:9" ht="9" customHeight="1">
      <c r="A22" s="276" t="s">
        <v>247</v>
      </c>
      <c r="B22" s="219">
        <f>8808700/90096</f>
        <v>97.77015627774819</v>
      </c>
      <c r="C22" s="219">
        <f>155700/1616</f>
        <v>96.3490099009901</v>
      </c>
      <c r="D22" s="219">
        <f>55700/627</f>
        <v>88.83572567783094</v>
      </c>
      <c r="E22" s="219">
        <f>1700/697</f>
        <v>2.4390243902439024</v>
      </c>
      <c r="F22" s="219">
        <f>58100/679</f>
        <v>85.56701030927834</v>
      </c>
      <c r="G22" s="219">
        <f>690500/6905</f>
        <v>100</v>
      </c>
      <c r="H22" s="219">
        <f>3800/86</f>
        <v>44.18604651162791</v>
      </c>
      <c r="I22" s="109">
        <v>0</v>
      </c>
    </row>
    <row r="23" spans="1:9" ht="9" customHeight="1">
      <c r="A23" s="276" t="s">
        <v>248</v>
      </c>
      <c r="B23" s="219">
        <f>483200/7881</f>
        <v>61.3120162415937</v>
      </c>
      <c r="C23" s="219">
        <f>18700/1143</f>
        <v>16.36045494313211</v>
      </c>
      <c r="D23" s="219">
        <f>1900/59</f>
        <v>32.20338983050848</v>
      </c>
      <c r="E23" s="219">
        <v>0</v>
      </c>
      <c r="F23" s="219">
        <v>0</v>
      </c>
      <c r="G23" s="219">
        <v>0</v>
      </c>
      <c r="H23" s="219">
        <f>300/7</f>
        <v>42.857142857142854</v>
      </c>
      <c r="I23" s="219">
        <v>0</v>
      </c>
    </row>
    <row r="24" spans="1:9" ht="9" customHeight="1">
      <c r="A24" s="276" t="s">
        <v>249</v>
      </c>
      <c r="B24" s="219">
        <f>58900/983</f>
        <v>59.91861648016277</v>
      </c>
      <c r="C24" s="219">
        <f>0/5</f>
        <v>0</v>
      </c>
      <c r="D24" s="219">
        <f>600/12</f>
        <v>50</v>
      </c>
      <c r="E24" s="219">
        <v>0</v>
      </c>
      <c r="F24" s="219">
        <v>0</v>
      </c>
      <c r="G24" s="219">
        <v>0</v>
      </c>
      <c r="H24" s="219">
        <f>0</f>
        <v>0</v>
      </c>
      <c r="I24" s="109">
        <v>0</v>
      </c>
    </row>
    <row r="25" spans="1:9" ht="9" customHeight="1">
      <c r="A25" s="276" t="s">
        <v>250</v>
      </c>
      <c r="B25" s="219">
        <f>3024400/37235</f>
        <v>81.22465422317711</v>
      </c>
      <c r="C25" s="219">
        <f>76600/944</f>
        <v>81.14406779661017</v>
      </c>
      <c r="D25" s="219">
        <f>10700/111</f>
        <v>96.3963963963964</v>
      </c>
      <c r="E25" s="219">
        <f>6600/86</f>
        <v>76.74418604651163</v>
      </c>
      <c r="F25" s="219">
        <f>38300/529</f>
        <v>72.4007561436673</v>
      </c>
      <c r="G25" s="219">
        <v>100</v>
      </c>
      <c r="H25" s="219">
        <v>35.294117647058826</v>
      </c>
      <c r="I25" s="109">
        <v>0</v>
      </c>
    </row>
    <row r="26" spans="1:9" ht="9" customHeight="1">
      <c r="A26" s="276" t="s">
        <v>251</v>
      </c>
      <c r="B26" s="219">
        <f>2015100/24082</f>
        <v>83.67660493314509</v>
      </c>
      <c r="C26" s="219">
        <f>10500/460</f>
        <v>22.82608695652174</v>
      </c>
      <c r="D26" s="219">
        <f>14800/328</f>
        <v>45.1219512195122</v>
      </c>
      <c r="E26" s="219">
        <f>600/75</f>
        <v>8</v>
      </c>
      <c r="F26" s="219">
        <f>8000/94</f>
        <v>85.1063829787234</v>
      </c>
      <c r="G26" s="219">
        <v>0</v>
      </c>
      <c r="H26" s="219">
        <f>2300/27</f>
        <v>85.18518518518519</v>
      </c>
      <c r="I26" s="219">
        <v>0</v>
      </c>
    </row>
    <row r="27" spans="1:9" ht="9" customHeight="1">
      <c r="A27" s="276" t="s">
        <v>252</v>
      </c>
      <c r="B27" s="219">
        <f>39900/699</f>
        <v>57.081545064377686</v>
      </c>
      <c r="C27" s="219">
        <f>18300/211</f>
        <v>86.72985781990522</v>
      </c>
      <c r="D27" s="219">
        <f>9000/91</f>
        <v>98.9010989010989</v>
      </c>
      <c r="E27" s="219">
        <v>0</v>
      </c>
      <c r="F27" s="219">
        <v>0</v>
      </c>
      <c r="G27" s="219">
        <v>0</v>
      </c>
      <c r="H27" s="219">
        <v>0</v>
      </c>
      <c r="I27" s="109">
        <v>0</v>
      </c>
    </row>
    <row r="28" spans="1:9" ht="9" customHeight="1">
      <c r="A28" s="276" t="s">
        <v>253</v>
      </c>
      <c r="B28" s="219">
        <f>1274700/14024</f>
        <v>90.89418140330861</v>
      </c>
      <c r="C28" s="219">
        <f>101300/1026</f>
        <v>98.73294346978558</v>
      </c>
      <c r="D28" s="219">
        <f>27300/360</f>
        <v>75.83333333333333</v>
      </c>
      <c r="E28" s="219">
        <v>0</v>
      </c>
      <c r="F28" s="219">
        <v>0</v>
      </c>
      <c r="G28" s="219">
        <v>100</v>
      </c>
      <c r="H28" s="219">
        <v>0</v>
      </c>
      <c r="I28" s="109">
        <v>0</v>
      </c>
    </row>
    <row r="29" spans="1:9" ht="9" customHeight="1">
      <c r="A29" s="276" t="s">
        <v>254</v>
      </c>
      <c r="B29" s="219">
        <f>1111500/14789</f>
        <v>75.15721144093582</v>
      </c>
      <c r="C29" s="219">
        <f>103700/2197</f>
        <v>47.20072826581702</v>
      </c>
      <c r="D29" s="219">
        <f>26700/388</f>
        <v>68.81443298969072</v>
      </c>
      <c r="E29" s="219">
        <f>66/84</f>
        <v>0.7857142857142857</v>
      </c>
      <c r="F29" s="219">
        <f>4700/47</f>
        <v>100</v>
      </c>
      <c r="G29" s="219">
        <v>100</v>
      </c>
      <c r="H29" s="219">
        <v>0</v>
      </c>
      <c r="I29" s="109">
        <v>0</v>
      </c>
    </row>
    <row r="30" spans="1:9" ht="9" customHeight="1">
      <c r="A30" s="276" t="s">
        <v>255</v>
      </c>
      <c r="B30" s="219">
        <f>966300/11153</f>
        <v>86.64036582085538</v>
      </c>
      <c r="C30" s="219">
        <f>91600/967</f>
        <v>94.72595656670114</v>
      </c>
      <c r="D30" s="219">
        <f>5200/80</f>
        <v>65</v>
      </c>
      <c r="E30" s="219">
        <f>2200/98</f>
        <v>22.448979591836736</v>
      </c>
      <c r="F30" s="219">
        <f>1800/182</f>
        <v>9.89010989010989</v>
      </c>
      <c r="G30" s="219">
        <f>20000/210</f>
        <v>95.23809523809524</v>
      </c>
      <c r="H30" s="219">
        <f>1600/20</f>
        <v>80</v>
      </c>
      <c r="I30" s="109">
        <v>0</v>
      </c>
    </row>
    <row r="31" spans="1:9" s="221" customFormat="1" ht="9" customHeight="1">
      <c r="A31" s="278" t="s">
        <v>225</v>
      </c>
      <c r="B31" s="300">
        <f>52003700/601311</f>
        <v>86.48386608593556</v>
      </c>
      <c r="C31" s="300">
        <f>2778200/54527</f>
        <v>50.950905056210686</v>
      </c>
      <c r="D31" s="300">
        <f>728700/9995</f>
        <v>72.90645322661331</v>
      </c>
      <c r="E31" s="300">
        <f>825700/69583</f>
        <v>11.866404150439044</v>
      </c>
      <c r="F31" s="300">
        <f>563800/8574</f>
        <v>65.75693958479123</v>
      </c>
      <c r="G31" s="300">
        <f>746400/7612</f>
        <v>98.05570152390962</v>
      </c>
      <c r="H31" s="300">
        <f>26300/669</f>
        <v>39.31240657698057</v>
      </c>
      <c r="I31" s="300">
        <f>93800/3416</f>
        <v>27.459016393442624</v>
      </c>
    </row>
    <row r="32" spans="1:9" ht="9" customHeight="1">
      <c r="A32" s="278" t="s">
        <v>256</v>
      </c>
      <c r="B32" s="300">
        <f>26676000/303461</f>
        <v>87.9058594020319</v>
      </c>
      <c r="C32" s="300">
        <f>1822100/39085</f>
        <v>46.618907509274656</v>
      </c>
      <c r="D32" s="300">
        <f>477700/6116</f>
        <v>78.10660562459124</v>
      </c>
      <c r="E32" s="300">
        <f>806400/64960</f>
        <v>12.413793103448276</v>
      </c>
      <c r="F32" s="300">
        <f>338100/4290</f>
        <v>78.81118881118881</v>
      </c>
      <c r="G32" s="300">
        <f>4300/164</f>
        <v>26.21951219512195</v>
      </c>
      <c r="H32" s="300">
        <f>13000/384</f>
        <v>33.854166666666664</v>
      </c>
      <c r="I32" s="300">
        <f>93800/3377</f>
        <v>27.776132662126148</v>
      </c>
    </row>
    <row r="33" spans="1:9" ht="9" customHeight="1">
      <c r="A33" s="278" t="s">
        <v>257</v>
      </c>
      <c r="B33" s="300">
        <f>16353600/187003</f>
        <v>87.45100345983754</v>
      </c>
      <c r="C33" s="342">
        <f>535400/8489</f>
        <v>63.06985510660855</v>
      </c>
      <c r="D33" s="300">
        <f>154900/2451</f>
        <v>63.198694410444716</v>
      </c>
      <c r="E33" s="300">
        <f>3400/4258</f>
        <v>0.7984969469234382</v>
      </c>
      <c r="F33" s="300">
        <f>338100/4290</f>
        <v>78.81118881118881</v>
      </c>
      <c r="G33" s="300">
        <f>711300/7131</f>
        <v>99.74758098443417</v>
      </c>
      <c r="H33" s="300">
        <f>7800/170</f>
        <v>45.88235294117647</v>
      </c>
      <c r="I33" s="221">
        <v>0</v>
      </c>
    </row>
    <row r="34" spans="1:9" ht="9" customHeight="1">
      <c r="A34" s="278" t="s">
        <v>258</v>
      </c>
      <c r="B34" s="300">
        <f>(68963+20778)*100/(84905+25942)</f>
        <v>80.95934035201674</v>
      </c>
      <c r="C34" s="300">
        <f>(2254+1954)*100/(3790+3164)</f>
        <v>60.511935576646536</v>
      </c>
      <c r="D34" s="300">
        <f>(319+643)*100/(961+467)</f>
        <v>67.36694677871148</v>
      </c>
      <c r="E34" s="300">
        <f>(72+87)*100/(182+182)</f>
        <v>43.68131868131868</v>
      </c>
      <c r="F34" s="300">
        <f>(463+65)*100/(910+229)</f>
        <v>46.35645302897278</v>
      </c>
      <c r="G34" s="300">
        <f>(106+202)*100/(106+212)</f>
        <v>96.85534591194968</v>
      </c>
      <c r="H34" s="300">
        <f>(39+16)*100/(68+47)</f>
        <v>47.82608695652174</v>
      </c>
      <c r="I34" s="300">
        <v>0</v>
      </c>
    </row>
    <row r="35" spans="2:9" ht="9" customHeight="1">
      <c r="B35" s="284"/>
      <c r="C35" s="284"/>
      <c r="D35" s="284"/>
      <c r="E35" s="284"/>
      <c r="F35" s="284"/>
      <c r="G35" s="284"/>
      <c r="H35" s="284"/>
      <c r="I35" s="284"/>
    </row>
    <row r="36" spans="2:9" ht="9" customHeight="1">
      <c r="B36" s="284"/>
      <c r="C36" s="284"/>
      <c r="D36" s="284"/>
      <c r="E36" s="284"/>
      <c r="F36" s="284"/>
      <c r="G36" s="284"/>
      <c r="H36" s="284"/>
      <c r="I36" s="284"/>
    </row>
    <row r="37" spans="1:10" ht="12" customHeight="1">
      <c r="A37" s="400" t="s">
        <v>226</v>
      </c>
      <c r="B37" s="282" t="s">
        <v>12</v>
      </c>
      <c r="C37" s="282" t="s">
        <v>259</v>
      </c>
      <c r="D37" s="282" t="s">
        <v>28</v>
      </c>
      <c r="E37" s="282" t="s">
        <v>260</v>
      </c>
      <c r="F37" s="282" t="s">
        <v>261</v>
      </c>
      <c r="G37" s="282" t="s">
        <v>262</v>
      </c>
      <c r="H37" s="282" t="s">
        <v>263</v>
      </c>
      <c r="I37" s="282" t="s">
        <v>0</v>
      </c>
      <c r="J37" s="218"/>
    </row>
    <row r="38" spans="1:10" ht="12" customHeight="1">
      <c r="A38" s="401"/>
      <c r="B38" s="283"/>
      <c r="C38" s="283" t="s">
        <v>264</v>
      </c>
      <c r="D38" s="283"/>
      <c r="E38" s="283" t="s">
        <v>2</v>
      </c>
      <c r="F38" s="283" t="s">
        <v>265</v>
      </c>
      <c r="G38" s="283" t="s">
        <v>266</v>
      </c>
      <c r="H38" s="283" t="s">
        <v>267</v>
      </c>
      <c r="I38" s="283"/>
      <c r="J38" s="218"/>
    </row>
    <row r="39" spans="1:10" ht="9" customHeight="1">
      <c r="A39" s="275"/>
      <c r="B39" s="286"/>
      <c r="C39" s="286"/>
      <c r="D39" s="286"/>
      <c r="E39" s="286"/>
      <c r="F39" s="286"/>
      <c r="G39" s="286"/>
      <c r="H39" s="286"/>
      <c r="I39" s="286"/>
      <c r="J39" s="218"/>
    </row>
    <row r="40" spans="1:9" ht="9" customHeight="1">
      <c r="A40" s="53" t="s">
        <v>234</v>
      </c>
      <c r="B40" s="109">
        <v>0</v>
      </c>
      <c r="C40" s="340">
        <v>0</v>
      </c>
      <c r="D40" s="219">
        <v>100</v>
      </c>
      <c r="E40" s="219">
        <v>0</v>
      </c>
      <c r="F40" s="219">
        <v>0</v>
      </c>
      <c r="G40" s="219">
        <v>100</v>
      </c>
      <c r="H40" s="219">
        <f>37100/1104</f>
        <v>33.60507246376812</v>
      </c>
      <c r="I40" s="219">
        <f>4594700/53514</f>
        <v>85.85977501214636</v>
      </c>
    </row>
    <row r="41" spans="1:9" ht="9" customHeight="1">
      <c r="A41" s="53" t="s">
        <v>235</v>
      </c>
      <c r="B41" s="109">
        <v>0</v>
      </c>
      <c r="C41" s="340">
        <v>0</v>
      </c>
      <c r="D41" s="219">
        <v>0</v>
      </c>
      <c r="E41" s="219">
        <v>0</v>
      </c>
      <c r="F41" s="219">
        <v>0</v>
      </c>
      <c r="G41" s="219">
        <v>0</v>
      </c>
      <c r="H41" s="219">
        <f>1300/35</f>
        <v>37.142857142857146</v>
      </c>
      <c r="I41" s="219">
        <f>20200/586</f>
        <v>34.47098976109215</v>
      </c>
    </row>
    <row r="42" spans="1:9" ht="9" customHeight="1">
      <c r="A42" s="53" t="s">
        <v>236</v>
      </c>
      <c r="B42" s="219">
        <v>0</v>
      </c>
      <c r="C42" s="219">
        <f>5700/60</f>
        <v>95</v>
      </c>
      <c r="D42" s="219">
        <f>3000/108</f>
        <v>27.77777777777778</v>
      </c>
      <c r="E42" s="219">
        <f>300/14</f>
        <v>21.428571428571427</v>
      </c>
      <c r="F42" s="219">
        <v>0</v>
      </c>
      <c r="G42" s="219">
        <v>100</v>
      </c>
      <c r="H42" s="219">
        <f>38000/872</f>
        <v>43.57798165137615</v>
      </c>
      <c r="I42" s="219">
        <f>11302800/160837</f>
        <v>70.2748745624452</v>
      </c>
    </row>
    <row r="43" spans="1:9" ht="9" customHeight="1">
      <c r="A43" s="53" t="s">
        <v>237</v>
      </c>
      <c r="B43" s="109">
        <v>0</v>
      </c>
      <c r="C43" s="21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f>12300/329</f>
        <v>37.38601823708207</v>
      </c>
      <c r="I43" s="219">
        <f>120700/4108</f>
        <v>29.381694255111977</v>
      </c>
    </row>
    <row r="44" spans="1:9" s="220" customFormat="1" ht="9" customHeight="1">
      <c r="A44" s="280" t="s">
        <v>238</v>
      </c>
      <c r="B44" s="220">
        <v>0</v>
      </c>
      <c r="C44" s="339">
        <v>0</v>
      </c>
      <c r="D44" s="339">
        <v>0</v>
      </c>
      <c r="E44" s="339">
        <v>0</v>
      </c>
      <c r="F44" s="339">
        <v>0</v>
      </c>
      <c r="G44" s="339">
        <v>0</v>
      </c>
      <c r="H44" s="339">
        <f>11400/280</f>
        <v>40.714285714285715</v>
      </c>
      <c r="I44" s="339">
        <f>80900/2613</f>
        <v>30.960581706850363</v>
      </c>
    </row>
    <row r="45" spans="1:9" s="220" customFormat="1" ht="9" customHeight="1">
      <c r="A45" s="280" t="s">
        <v>239</v>
      </c>
      <c r="B45" s="220">
        <v>0</v>
      </c>
      <c r="C45" s="339">
        <v>0</v>
      </c>
      <c r="D45" s="339">
        <v>0</v>
      </c>
      <c r="E45" s="339">
        <v>0</v>
      </c>
      <c r="F45" s="339">
        <v>0</v>
      </c>
      <c r="G45" s="339">
        <v>0</v>
      </c>
      <c r="H45" s="339">
        <f>900/49</f>
        <v>18.367346938775512</v>
      </c>
      <c r="I45" s="339">
        <f>39800/1495</f>
        <v>26.622073578595316</v>
      </c>
    </row>
    <row r="46" spans="1:9" ht="9" customHeight="1">
      <c r="A46" s="53" t="s">
        <v>240</v>
      </c>
      <c r="B46" s="219">
        <f>64400/704</f>
        <v>91.47727272727273</v>
      </c>
      <c r="C46" s="219">
        <v>0</v>
      </c>
      <c r="D46" s="219">
        <f>92700/1054</f>
        <v>87.9506641366224</v>
      </c>
      <c r="E46" s="219">
        <v>0</v>
      </c>
      <c r="F46" s="219">
        <v>0</v>
      </c>
      <c r="G46" s="219">
        <v>0</v>
      </c>
      <c r="H46" s="219">
        <f>17800/1143</f>
        <v>15.573053368328958</v>
      </c>
      <c r="I46" s="219">
        <f>3604700/44494</f>
        <v>81.0154178091428</v>
      </c>
    </row>
    <row r="47" spans="1:9" ht="9" customHeight="1">
      <c r="A47" s="53" t="s">
        <v>241</v>
      </c>
      <c r="B47" s="219">
        <v>0</v>
      </c>
      <c r="C47" s="21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f>8900/133</f>
        <v>66.9172932330827</v>
      </c>
      <c r="I47" s="219">
        <f>1739300/19405</f>
        <v>89.63153826333419</v>
      </c>
    </row>
    <row r="48" spans="1:9" ht="9" customHeight="1">
      <c r="A48" s="53" t="s">
        <v>242</v>
      </c>
      <c r="B48" s="219">
        <v>0</v>
      </c>
      <c r="C48" s="219">
        <f>2500/25</f>
        <v>100</v>
      </c>
      <c r="D48" s="219">
        <v>100</v>
      </c>
      <c r="E48" s="219">
        <v>0</v>
      </c>
      <c r="F48" s="219">
        <v>0</v>
      </c>
      <c r="G48" s="219">
        <f>8200/142</f>
        <v>57.74647887323944</v>
      </c>
      <c r="H48" s="219">
        <f>8000/199</f>
        <v>40.20100502512563</v>
      </c>
      <c r="I48" s="219">
        <f>1619400/17878</f>
        <v>90.58060185703098</v>
      </c>
    </row>
    <row r="49" spans="1:9" ht="9" customHeight="1">
      <c r="A49" s="53" t="s">
        <v>243</v>
      </c>
      <c r="B49" s="219">
        <f>500/196</f>
        <v>2.5510204081632653</v>
      </c>
      <c r="C49" s="219">
        <v>0</v>
      </c>
      <c r="D49" s="219">
        <f>9900/109</f>
        <v>90.8256880733945</v>
      </c>
      <c r="E49" s="219">
        <f>38100/409</f>
        <v>93.15403422982885</v>
      </c>
      <c r="F49" s="219">
        <v>0</v>
      </c>
      <c r="G49" s="219">
        <v>0</v>
      </c>
      <c r="H49" s="219">
        <f>30300/792</f>
        <v>38.25757575757576</v>
      </c>
      <c r="I49" s="219">
        <f>7644300/129908</f>
        <v>58.84395110385812</v>
      </c>
    </row>
    <row r="50" spans="1:9" ht="9" customHeight="1">
      <c r="A50" s="53" t="s">
        <v>244</v>
      </c>
      <c r="B50" s="219">
        <f>800/57</f>
        <v>14.035087719298245</v>
      </c>
      <c r="C50" s="219">
        <v>0</v>
      </c>
      <c r="D50" s="219">
        <v>100</v>
      </c>
      <c r="E50" s="219">
        <v>100</v>
      </c>
      <c r="F50" s="219">
        <v>100</v>
      </c>
      <c r="G50" s="219">
        <v>100</v>
      </c>
      <c r="H50" s="219">
        <f>15800/379</f>
        <v>41.68865435356201</v>
      </c>
      <c r="I50" s="219">
        <f>5739400/78479</f>
        <v>73.13294002217154</v>
      </c>
    </row>
    <row r="51" spans="1:9" ht="9" customHeight="1">
      <c r="A51" s="53" t="s">
        <v>245</v>
      </c>
      <c r="B51" s="219">
        <v>0</v>
      </c>
      <c r="C51" s="219">
        <v>100</v>
      </c>
      <c r="D51" s="219">
        <v>0</v>
      </c>
      <c r="E51" s="219">
        <v>0</v>
      </c>
      <c r="F51" s="219">
        <v>0</v>
      </c>
      <c r="G51" s="219">
        <v>0</v>
      </c>
      <c r="H51" s="219">
        <f>2500/119</f>
        <v>21.008403361344538</v>
      </c>
      <c r="I51" s="219">
        <f>1840100/20617</f>
        <v>89.25158849493137</v>
      </c>
    </row>
    <row r="52" spans="1:9" ht="9" customHeight="1">
      <c r="A52" s="53" t="s">
        <v>246</v>
      </c>
      <c r="B52" s="219">
        <v>0</v>
      </c>
      <c r="C52" s="219">
        <v>0</v>
      </c>
      <c r="D52" s="219">
        <v>0</v>
      </c>
      <c r="E52" s="219">
        <v>0</v>
      </c>
      <c r="F52" s="219">
        <v>0</v>
      </c>
      <c r="G52" s="219">
        <v>100</v>
      </c>
      <c r="H52" s="219">
        <f>2900/149</f>
        <v>19.463087248322147</v>
      </c>
      <c r="I52" s="219">
        <f>656600/14066</f>
        <v>46.679937437793264</v>
      </c>
    </row>
    <row r="53" spans="1:9" ht="9" customHeight="1">
      <c r="A53" s="53" t="s">
        <v>247</v>
      </c>
      <c r="B53" s="219">
        <v>0</v>
      </c>
      <c r="C53" s="219">
        <v>100</v>
      </c>
      <c r="D53" s="219">
        <f>3800/46</f>
        <v>82.6086956521739</v>
      </c>
      <c r="E53" s="219">
        <v>0</v>
      </c>
      <c r="F53" s="219">
        <v>100</v>
      </c>
      <c r="G53" s="219">
        <f>9000/120</f>
        <v>75</v>
      </c>
      <c r="H53" s="219">
        <f>33200/517</f>
        <v>64.21663442940039</v>
      </c>
      <c r="I53" s="219">
        <f>9891700/102202</f>
        <v>96.78577718635643</v>
      </c>
    </row>
    <row r="54" spans="1:9" ht="9" customHeight="1">
      <c r="A54" s="53" t="s">
        <v>248</v>
      </c>
      <c r="B54" s="219">
        <v>0</v>
      </c>
      <c r="C54" s="219">
        <f>800/9</f>
        <v>88.88888888888889</v>
      </c>
      <c r="D54" s="219">
        <f>13300/136</f>
        <v>97.79411764705883</v>
      </c>
      <c r="E54" s="219">
        <v>0</v>
      </c>
      <c r="F54" s="219">
        <v>0</v>
      </c>
      <c r="G54" s="219">
        <v>100</v>
      </c>
      <c r="H54" s="219">
        <f>1600/185</f>
        <v>8.64864864864865</v>
      </c>
      <c r="I54" s="219">
        <f>522700/9788</f>
        <v>53.40212505108296</v>
      </c>
    </row>
    <row r="55" spans="1:9" ht="9" customHeight="1">
      <c r="A55" s="53" t="s">
        <v>249</v>
      </c>
      <c r="B55" s="219">
        <v>0</v>
      </c>
      <c r="C55" s="219">
        <v>0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19">
        <f>59600/1010</f>
        <v>59.00990099009901</v>
      </c>
    </row>
    <row r="56" spans="1:9" ht="9" customHeight="1">
      <c r="A56" s="53" t="s">
        <v>250</v>
      </c>
      <c r="B56" s="219">
        <v>0</v>
      </c>
      <c r="C56" s="219">
        <v>0</v>
      </c>
      <c r="D56" s="219">
        <v>100</v>
      </c>
      <c r="E56" s="219">
        <v>100</v>
      </c>
      <c r="F56" s="219">
        <v>0</v>
      </c>
      <c r="G56" s="219">
        <v>100</v>
      </c>
      <c r="H56" s="219">
        <f>6500/133</f>
        <v>48.87218045112782</v>
      </c>
      <c r="I56" s="219">
        <f>3177000/39198</f>
        <v>81.05005357416195</v>
      </c>
    </row>
    <row r="57" spans="1:9" ht="9" customHeight="1">
      <c r="A57" s="53" t="s">
        <v>251</v>
      </c>
      <c r="B57" s="219">
        <v>0</v>
      </c>
      <c r="C57" s="219">
        <v>100</v>
      </c>
      <c r="D57" s="219">
        <v>0</v>
      </c>
      <c r="E57" s="219">
        <v>0</v>
      </c>
      <c r="F57" s="219">
        <v>0</v>
      </c>
      <c r="G57" s="219">
        <v>0</v>
      </c>
      <c r="H57" s="219">
        <f>600/94</f>
        <v>6.382978723404255</v>
      </c>
      <c r="I57" s="219">
        <f>2052100/25164</f>
        <v>81.54903830869496</v>
      </c>
    </row>
    <row r="58" spans="1:9" ht="9" customHeight="1">
      <c r="A58" s="53" t="s">
        <v>252</v>
      </c>
      <c r="B58" s="219">
        <v>0</v>
      </c>
      <c r="C58" s="219">
        <v>0</v>
      </c>
      <c r="D58" s="219">
        <v>0</v>
      </c>
      <c r="E58" s="219">
        <v>0</v>
      </c>
      <c r="F58" s="219">
        <v>0</v>
      </c>
      <c r="G58" s="219">
        <v>0</v>
      </c>
      <c r="H58" s="219">
        <f>100</f>
        <v>100</v>
      </c>
      <c r="I58" s="219">
        <f>68000/1009</f>
        <v>67.39345887016849</v>
      </c>
    </row>
    <row r="59" spans="1:9" ht="9" customHeight="1">
      <c r="A59" s="53" t="s">
        <v>253</v>
      </c>
      <c r="B59" s="219">
        <v>0</v>
      </c>
      <c r="C59" s="219">
        <v>0</v>
      </c>
      <c r="D59" s="219">
        <v>0</v>
      </c>
      <c r="E59" s="219">
        <v>0</v>
      </c>
      <c r="F59" s="219">
        <v>0</v>
      </c>
      <c r="G59" s="219">
        <v>0</v>
      </c>
      <c r="H59" s="219">
        <f>500/119</f>
        <v>4.201680672268908</v>
      </c>
      <c r="I59" s="219">
        <f>1408200/15580</f>
        <v>90.38510911424903</v>
      </c>
    </row>
    <row r="60" spans="1:9" ht="9" customHeight="1">
      <c r="A60" s="53" t="s">
        <v>254</v>
      </c>
      <c r="B60" s="219">
        <v>0</v>
      </c>
      <c r="C60" s="219">
        <v>0</v>
      </c>
      <c r="D60" s="219">
        <v>0</v>
      </c>
      <c r="E60" s="219">
        <v>0</v>
      </c>
      <c r="F60" s="219">
        <v>0</v>
      </c>
      <c r="G60" s="219">
        <v>100</v>
      </c>
      <c r="H60" s="219">
        <f>6000/102</f>
        <v>58.8235294117647</v>
      </c>
      <c r="I60" s="219">
        <f>1259500/17650</f>
        <v>71.35977337110482</v>
      </c>
    </row>
    <row r="61" spans="1:9" ht="9" customHeight="1">
      <c r="A61" s="53" t="s">
        <v>255</v>
      </c>
      <c r="B61" s="219">
        <v>0</v>
      </c>
      <c r="C61" s="219">
        <v>0</v>
      </c>
      <c r="D61" s="219">
        <v>0</v>
      </c>
      <c r="E61" s="219">
        <v>0</v>
      </c>
      <c r="F61" s="219">
        <v>0</v>
      </c>
      <c r="G61" s="219">
        <v>100</v>
      </c>
      <c r="H61" s="219">
        <f>2900/82</f>
        <v>35.36585365853659</v>
      </c>
      <c r="I61" s="219">
        <f>1093000/12853</f>
        <v>85.03851240955419</v>
      </c>
    </row>
    <row r="62" spans="1:10" ht="9" customHeight="1">
      <c r="A62" s="281" t="s">
        <v>225</v>
      </c>
      <c r="B62" s="300">
        <f>65800/1574</f>
        <v>41.80432020330368</v>
      </c>
      <c r="C62" s="300">
        <f>17100/231</f>
        <v>74.02597402597402</v>
      </c>
      <c r="D62" s="300">
        <f>140100/1629</f>
        <v>86.0036832412523</v>
      </c>
      <c r="E62" s="300">
        <f>44500/582</f>
        <v>76.46048109965636</v>
      </c>
      <c r="F62" s="300">
        <f>86700/1388</f>
        <v>62.46397694524496</v>
      </c>
      <c r="G62" s="300">
        <f>66300/753</f>
        <v>88.04780876494024</v>
      </c>
      <c r="H62" s="300">
        <f>227100/6502</f>
        <v>34.927714549369426</v>
      </c>
      <c r="I62" s="300">
        <f>58414100/768347</f>
        <v>76.02567589904041</v>
      </c>
      <c r="J62" s="221"/>
    </row>
    <row r="63" spans="1:9" ht="9" customHeight="1">
      <c r="A63" s="281" t="s">
        <v>256</v>
      </c>
      <c r="B63" s="300">
        <f>64900/1514</f>
        <v>42.866578599735796</v>
      </c>
      <c r="C63" s="300">
        <f>8200/108</f>
        <v>75.92592592592592</v>
      </c>
      <c r="D63" s="300">
        <f>118800/1405</f>
        <v>84.55516014234875</v>
      </c>
      <c r="E63" s="300">
        <f>38400/423</f>
        <v>90.78014184397163</v>
      </c>
      <c r="F63" s="300">
        <f>21900/685</f>
        <v>31.970802919708028</v>
      </c>
      <c r="G63" s="300">
        <f>8900/150</f>
        <v>59.333333333333336</v>
      </c>
      <c r="H63" s="300">
        <f>153700/4607</f>
        <v>33.36227479921858</v>
      </c>
      <c r="I63" s="300">
        <f>30646200/430729</f>
        <v>71.14960915099749</v>
      </c>
    </row>
    <row r="64" spans="1:9" ht="9" customHeight="1">
      <c r="A64" s="281" t="s">
        <v>257</v>
      </c>
      <c r="B64" s="300">
        <f>800/59</f>
        <v>13.559322033898304</v>
      </c>
      <c r="C64" s="300">
        <f>8000/99</f>
        <v>80.8080808080808</v>
      </c>
      <c r="D64" s="300">
        <f>7600/84</f>
        <v>90.47619047619048</v>
      </c>
      <c r="E64" s="300">
        <f>6000/158</f>
        <v>37.9746835443038</v>
      </c>
      <c r="F64" s="300">
        <v>0</v>
      </c>
      <c r="G64" s="300">
        <f>47000/500</f>
        <v>94</v>
      </c>
      <c r="H64" s="300">
        <f>54400/1163</f>
        <v>46.775580395528806</v>
      </c>
      <c r="I64" s="300">
        <f>18127900/215364</f>
        <v>84.17330658791627</v>
      </c>
    </row>
    <row r="65" spans="1:9" ht="9" customHeight="1">
      <c r="A65" s="281" t="s">
        <v>258</v>
      </c>
      <c r="B65" s="300">
        <v>0</v>
      </c>
      <c r="C65" s="300">
        <f>900/23</f>
        <v>39.130434782608695</v>
      </c>
      <c r="D65" s="300">
        <f>13700/139</f>
        <v>98.56115107913669</v>
      </c>
      <c r="E65" s="300">
        <v>100</v>
      </c>
      <c r="F65" s="300">
        <v>0</v>
      </c>
      <c r="G65" s="300">
        <v>100</v>
      </c>
      <c r="H65" s="300">
        <f>19000/(547+184)</f>
        <v>25.991792065663475</v>
      </c>
      <c r="I65" s="300">
        <f>(72876+23525)*100/(91750+30503)</f>
        <v>78.85368866203693</v>
      </c>
    </row>
    <row r="66" spans="1:9" ht="9" customHeight="1">
      <c r="A66" s="279"/>
      <c r="B66" s="241"/>
      <c r="C66" s="241"/>
      <c r="D66" s="241"/>
      <c r="E66" s="241"/>
      <c r="F66" s="285"/>
      <c r="G66" s="241"/>
      <c r="H66" s="241"/>
      <c r="I66" s="241"/>
    </row>
    <row r="67" ht="8.25">
      <c r="F67" s="219"/>
    </row>
    <row r="68" ht="8.25">
      <c r="F68" s="219"/>
    </row>
    <row r="69" ht="8.25">
      <c r="F69" s="219"/>
    </row>
  </sheetData>
  <mergeCells count="2">
    <mergeCell ref="A37:A38"/>
    <mergeCell ref="A6:A7"/>
  </mergeCells>
  <printOptions horizontalCentered="1"/>
  <pageMargins left="1.1811023622047245" right="1.1811023622047245" top="1.1811023622047245" bottom="1.5748031496062993" header="0" footer="1.2598425196850394"/>
  <pageSetup firstPageNumber="191" useFirstPageNumber="1" horizontalDpi="300" verticalDpi="300" orientation="portrait" paperSize="9" r:id="rId2"/>
  <headerFooter alignWithMargins="0">
    <oddFooter>&amp;C&amp;9 191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0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4.57421875" style="270" customWidth="1"/>
    <col min="2" max="2" width="8.7109375" style="109" customWidth="1"/>
    <col min="3" max="3" width="6.8515625" style="109" customWidth="1"/>
    <col min="4" max="4" width="6.140625" style="109" customWidth="1"/>
    <col min="5" max="5" width="5.421875" style="109" customWidth="1"/>
    <col min="6" max="6" width="13.421875" style="109" customWidth="1"/>
    <col min="7" max="7" width="8.7109375" style="109" customWidth="1"/>
    <col min="8" max="8" width="6.8515625" style="109" customWidth="1"/>
    <col min="9" max="9" width="6.140625" style="109" customWidth="1"/>
    <col min="10" max="16384" width="9.140625" style="109" customWidth="1"/>
  </cols>
  <sheetData>
    <row r="1" ht="6" customHeight="1"/>
    <row r="2" s="215" customFormat="1" ht="12" customHeight="1">
      <c r="A2" s="271" t="s">
        <v>459</v>
      </c>
    </row>
    <row r="3" s="214" customFormat="1" ht="12.75" customHeight="1">
      <c r="A3" s="287" t="s">
        <v>460</v>
      </c>
    </row>
    <row r="4" spans="1:9" ht="6" customHeight="1">
      <c r="A4" s="275"/>
      <c r="B4" s="402"/>
      <c r="C4" s="402"/>
      <c r="D4" s="402"/>
      <c r="E4" s="231"/>
      <c r="F4" s="231"/>
      <c r="G4" s="402"/>
      <c r="H4" s="402"/>
      <c r="I4" s="402"/>
    </row>
    <row r="5" spans="1:9" ht="9.75">
      <c r="A5" s="273" t="s">
        <v>464</v>
      </c>
      <c r="B5" s="239" t="s">
        <v>268</v>
      </c>
      <c r="C5" s="242" t="s">
        <v>263</v>
      </c>
      <c r="D5" s="242" t="s">
        <v>0</v>
      </c>
      <c r="E5" s="239"/>
      <c r="F5" s="239" t="s">
        <v>269</v>
      </c>
      <c r="G5" s="239" t="s">
        <v>268</v>
      </c>
      <c r="H5" s="242" t="s">
        <v>263</v>
      </c>
      <c r="I5" s="242" t="s">
        <v>0</v>
      </c>
    </row>
    <row r="6" spans="1:9" ht="9.75">
      <c r="A6" s="274" t="s">
        <v>226</v>
      </c>
      <c r="B6" s="240" t="s">
        <v>270</v>
      </c>
      <c r="C6" s="243" t="s">
        <v>271</v>
      </c>
      <c r="D6" s="243"/>
      <c r="E6" s="240"/>
      <c r="F6" s="240" t="s">
        <v>226</v>
      </c>
      <c r="G6" s="240" t="s">
        <v>270</v>
      </c>
      <c r="H6" s="243" t="s">
        <v>271</v>
      </c>
      <c r="I6" s="243"/>
    </row>
    <row r="7" ht="6" customHeight="1"/>
    <row r="8" spans="1:9" ht="9" customHeight="1">
      <c r="A8" s="270" t="s">
        <v>272</v>
      </c>
      <c r="B8" s="352">
        <f>620/90.289*1000</f>
        <v>6866.838706819213</v>
      </c>
      <c r="C8" s="109">
        <f>1174000/340.694</f>
        <v>3445.9074712205083</v>
      </c>
      <c r="D8" s="109">
        <f>1794000000/430983</f>
        <v>4162.577178218166</v>
      </c>
      <c r="F8" s="109" t="s">
        <v>273</v>
      </c>
      <c r="G8" s="109">
        <f>14239000000/156673</f>
        <v>90883.56002629681</v>
      </c>
      <c r="H8" s="109">
        <f>1980000000/455956</f>
        <v>4342.524278658467</v>
      </c>
      <c r="I8" s="109">
        <f>16219000000/612629</f>
        <v>26474.42416209484</v>
      </c>
    </row>
    <row r="9" spans="1:9" ht="9" customHeight="1">
      <c r="A9" s="270" t="s">
        <v>274</v>
      </c>
      <c r="B9" s="109">
        <f>154000000/47353</f>
        <v>3252.169873080903</v>
      </c>
      <c r="C9" s="109">
        <f>153000000/142153</f>
        <v>1076.3051078767244</v>
      </c>
      <c r="D9" s="109">
        <f>307000000/189506</f>
        <v>1620.0014775257775</v>
      </c>
      <c r="F9" s="109" t="s">
        <v>275</v>
      </c>
      <c r="G9" s="109">
        <f>4162000000/107770</f>
        <v>38619.28180384151</v>
      </c>
      <c r="H9" s="109">
        <f>236000000/115089</f>
        <v>2050.5869370660967</v>
      </c>
      <c r="I9" s="109">
        <f>4398000000/222859</f>
        <v>19734.450930857627</v>
      </c>
    </row>
    <row r="10" spans="1:9" ht="9" customHeight="1">
      <c r="A10" s="270" t="s">
        <v>276</v>
      </c>
      <c r="B10" s="332">
        <f>1558/47353*1000000</f>
        <v>32901.822482208096</v>
      </c>
      <c r="C10" s="109">
        <f>205/142153*1000000</f>
        <v>1442.108151076657</v>
      </c>
      <c r="D10" s="109">
        <f>1763/189506*1000000</f>
        <v>9303.135520775068</v>
      </c>
      <c r="F10" s="221" t="s">
        <v>277</v>
      </c>
      <c r="G10" s="109">
        <f>18401000000/264443</f>
        <v>69583.99352601505</v>
      </c>
      <c r="H10" s="221">
        <f>2215000000/571045</f>
        <v>3878.8536805330577</v>
      </c>
      <c r="I10" s="221">
        <f>20617000000/835488</f>
        <v>24676.59619288368</v>
      </c>
    </row>
    <row r="11" spans="1:9" ht="9" customHeight="1">
      <c r="A11" s="270" t="s">
        <v>278</v>
      </c>
      <c r="B11" s="109">
        <f>1083000000/54624</f>
        <v>19826.449912126536</v>
      </c>
      <c r="C11" s="109">
        <f>942000000/502806</f>
        <v>1873.4859965871528</v>
      </c>
      <c r="D11" s="109">
        <f>2025000000/557430</f>
        <v>3632.7431246972715</v>
      </c>
      <c r="F11" s="109" t="s">
        <v>279</v>
      </c>
      <c r="G11" s="109">
        <f>2233000000/98329</f>
        <v>22709.475332811275</v>
      </c>
      <c r="H11" s="109">
        <f>2511000000/345727</f>
        <v>7262.9560317823025</v>
      </c>
      <c r="I11" s="109">
        <f>4744000000/444056</f>
        <v>10683.337236744916</v>
      </c>
    </row>
    <row r="12" spans="1:9" ht="9" customHeight="1">
      <c r="A12" s="270" t="s">
        <v>280</v>
      </c>
      <c r="B12" s="109">
        <f>498000000/102037</f>
        <v>4880.582533786764</v>
      </c>
      <c r="C12" s="109">
        <f>1004000000/241519</f>
        <v>4157.022842923331</v>
      </c>
      <c r="D12" s="109">
        <f>1502000000/343556</f>
        <v>4371.921899195473</v>
      </c>
      <c r="F12" s="109" t="s">
        <v>281</v>
      </c>
      <c r="G12" s="109">
        <f>1159000000/51827</f>
        <v>22362.86105697802</v>
      </c>
      <c r="H12" s="109">
        <f>3076000000/317964</f>
        <v>9674.051150444704</v>
      </c>
      <c r="I12" s="109">
        <f>4235000000/369791</f>
        <v>11452.41501280453</v>
      </c>
    </row>
    <row r="13" spans="1:9" ht="9" customHeight="1">
      <c r="A13" s="270" t="s">
        <v>282</v>
      </c>
      <c r="B13" s="109">
        <f>41426000000/903705</f>
        <v>45840.180147282575</v>
      </c>
      <c r="C13" s="109">
        <f>3480000000/1310577</f>
        <v>2655.318993084725</v>
      </c>
      <c r="D13" s="109">
        <f>44906000000/2214282</f>
        <v>20280.163050596086</v>
      </c>
      <c r="F13" s="109" t="s">
        <v>283</v>
      </c>
      <c r="G13" s="109">
        <f>705000000/41907</f>
        <v>16822.965137089268</v>
      </c>
      <c r="H13" s="109">
        <f>1090000000/260741</f>
        <v>4180.393570631393</v>
      </c>
      <c r="I13" s="109">
        <f>1796000000/302648</f>
        <v>5934.2866960957945</v>
      </c>
    </row>
    <row r="14" spans="1:9" ht="9" customHeight="1">
      <c r="A14" s="270" t="s">
        <v>284</v>
      </c>
      <c r="B14" s="109">
        <f>126000000/30383</f>
        <v>4147.055919428628</v>
      </c>
      <c r="C14" s="109">
        <f>164000000/130368</f>
        <v>1257.9774177712322</v>
      </c>
      <c r="D14" s="109">
        <f>290000000/160751</f>
        <v>1804.0323232825924</v>
      </c>
      <c r="F14" s="109" t="s">
        <v>285</v>
      </c>
      <c r="G14" s="109">
        <f>2470000000/88987</f>
        <v>27756.863362064123</v>
      </c>
      <c r="H14" s="109">
        <f>822000000/255507</f>
        <v>3217.1329943993705</v>
      </c>
      <c r="I14" s="109">
        <f>3292000000/344494</f>
        <v>9556.044517466196</v>
      </c>
    </row>
    <row r="15" spans="1:9" ht="9" customHeight="1">
      <c r="A15" s="270" t="s">
        <v>286</v>
      </c>
      <c r="B15" s="109">
        <f>482000000/47946</f>
        <v>10052.976264964753</v>
      </c>
      <c r="C15" s="109">
        <f>444000000/132664</f>
        <v>3346.8009407224267</v>
      </c>
      <c r="D15" s="109">
        <f>927000000/180610</f>
        <v>5132.606167986269</v>
      </c>
      <c r="F15" s="221" t="s">
        <v>287</v>
      </c>
      <c r="G15" s="221">
        <f>6566000000/281050</f>
        <v>23362.39103362391</v>
      </c>
      <c r="H15" s="221">
        <f>7500000000/1179939</f>
        <v>6356.2607897526905</v>
      </c>
      <c r="I15" s="221">
        <f>14066000000/1460989</f>
        <v>9627.724780953176</v>
      </c>
    </row>
    <row r="16" spans="1:9" s="221" customFormat="1" ht="9" customHeight="1">
      <c r="A16" s="288" t="s">
        <v>288</v>
      </c>
      <c r="B16" s="221">
        <f>45947000000/1349496</f>
        <v>34047.52589114751</v>
      </c>
      <c r="C16" s="221">
        <f>7467000000/2937969</f>
        <v>2541.5516637513874</v>
      </c>
      <c r="D16" s="221">
        <f>53514000000/4287465</f>
        <v>12481.501306716207</v>
      </c>
      <c r="F16" s="109" t="s">
        <v>289</v>
      </c>
      <c r="G16" s="109">
        <f>288000000/47742</f>
        <v>6032.424280507729</v>
      </c>
      <c r="H16" s="109">
        <f>764000000/446277</f>
        <v>1711.941238289224</v>
      </c>
      <c r="I16" s="109">
        <f>1052000000/494019</f>
        <v>2129.4727530722503</v>
      </c>
    </row>
    <row r="17" spans="1:9" s="221" customFormat="1" ht="9" customHeight="1">
      <c r="A17" s="288" t="s">
        <v>290</v>
      </c>
      <c r="B17" s="221">
        <f>202000000/34741</f>
        <v>5814.455542442647</v>
      </c>
      <c r="C17" s="221">
        <f>384000000/85602</f>
        <v>4485.876498212659</v>
      </c>
      <c r="D17" s="221">
        <f>586000000/120343</f>
        <v>4869.4149223469585</v>
      </c>
      <c r="F17" s="109" t="s">
        <v>291</v>
      </c>
      <c r="G17" s="109">
        <f>323000000/114099</f>
        <v>2830.8749419363885</v>
      </c>
      <c r="H17" s="109">
        <f>506000000/396010</f>
        <v>1277.745511476983</v>
      </c>
      <c r="I17" s="109">
        <f>829000000/510109</f>
        <v>1625.1428616236922</v>
      </c>
    </row>
    <row r="18" spans="1:9" ht="9" customHeight="1">
      <c r="A18" s="270" t="s">
        <v>292</v>
      </c>
      <c r="B18" s="109">
        <f>8357000000/117837</f>
        <v>70919.99966054804</v>
      </c>
      <c r="C18" s="109">
        <f>1654000000/847296</f>
        <v>1952.0923030440365</v>
      </c>
      <c r="D18" s="109">
        <f>10011000000/965133</f>
        <v>10372.663663971702</v>
      </c>
      <c r="F18" s="109" t="s">
        <v>293</v>
      </c>
      <c r="G18" s="109">
        <f>934000000/46100</f>
        <v>20260.303687635576</v>
      </c>
      <c r="H18" s="109">
        <f>52000000/104487</f>
        <v>497.6695665489487</v>
      </c>
      <c r="I18" s="109">
        <f>987000000/150587</f>
        <v>6554.350641157604</v>
      </c>
    </row>
    <row r="19" spans="1:9" ht="9" customHeight="1">
      <c r="A19" s="270" t="s">
        <v>294</v>
      </c>
      <c r="B19" s="109">
        <f>379000000/191317</f>
        <v>1981.005347146359</v>
      </c>
      <c r="C19" s="109">
        <f>2009000000/907164</f>
        <v>2214.594053555917</v>
      </c>
      <c r="D19" s="109">
        <f>5188000000/1098481</f>
        <v>4722.885511902346</v>
      </c>
      <c r="F19" s="109" t="s">
        <v>295</v>
      </c>
      <c r="G19" s="109">
        <f>96606000000/2643581</f>
        <v>36543.612622423905</v>
      </c>
      <c r="H19" s="109">
        <f>1737000000/1173552</f>
        <v>1480.1218863757208</v>
      </c>
      <c r="I19" s="109">
        <f>98343000000/3817133</f>
        <v>25763.577009237037</v>
      </c>
    </row>
    <row r="20" spans="1:9" ht="9" customHeight="1">
      <c r="A20" s="270" t="s">
        <v>296</v>
      </c>
      <c r="B20" s="109">
        <f>1121000000/82989</f>
        <v>13507.814288640664</v>
      </c>
      <c r="C20" s="109">
        <f>1669000000/456483</f>
        <v>3656.2150178648494</v>
      </c>
      <c r="D20" s="109">
        <f>2790000000/539472</f>
        <v>5171.7234629415425</v>
      </c>
      <c r="F20" s="109" t="s">
        <v>297</v>
      </c>
      <c r="G20" s="109">
        <f>766000000/60212</f>
        <v>12721.716601341925</v>
      </c>
      <c r="H20" s="109">
        <f>225000000/232017</f>
        <v>969.756526461423</v>
      </c>
      <c r="I20" s="109">
        <f>991000000/292229</f>
        <v>3391.176098196962</v>
      </c>
    </row>
    <row r="21" spans="1:9" ht="9" customHeight="1">
      <c r="A21" s="270" t="s">
        <v>298</v>
      </c>
      <c r="B21" s="109">
        <f>1171000000/71611</f>
        <v>16352.236388264373</v>
      </c>
      <c r="C21" s="109">
        <f>823000000/262706</f>
        <v>3132.7796091448236</v>
      </c>
      <c r="D21" s="109">
        <f>1994000000/334317</f>
        <v>5964.3990583787245</v>
      </c>
      <c r="F21" s="221" t="s">
        <v>299</v>
      </c>
      <c r="G21" s="221">
        <f>98917000000/2911734</f>
        <v>33971.85319812867</v>
      </c>
      <c r="H21" s="221">
        <f>3285000000/2352343</f>
        <v>1396.4800201331184</v>
      </c>
      <c r="I21" s="221">
        <f>102202000000/5264077</f>
        <v>19414.989560373073</v>
      </c>
    </row>
    <row r="22" spans="1:9" ht="9" customHeight="1">
      <c r="A22" s="270" t="s">
        <v>300</v>
      </c>
      <c r="B22" s="109">
        <f>882000000/45632</f>
        <v>19328.541374474054</v>
      </c>
      <c r="C22" s="109">
        <f>436000000/263852</f>
        <v>1652.4415202461987</v>
      </c>
      <c r="D22" s="109">
        <f>1317000000/309484</f>
        <v>4255.470395884763</v>
      </c>
      <c r="F22" s="109" t="s">
        <v>301</v>
      </c>
      <c r="G22" s="109">
        <f>334000000/56768</f>
        <v>5883.596392333709</v>
      </c>
      <c r="H22" s="109">
        <f>1088000000/333365</f>
        <v>3263.689949454802</v>
      </c>
      <c r="I22" s="109">
        <f>1422000000/390133</f>
        <v>3644.9108380988023</v>
      </c>
    </row>
    <row r="23" spans="1:9" ht="9" customHeight="1">
      <c r="A23" s="270" t="s">
        <v>302</v>
      </c>
      <c r="B23" s="109">
        <f>135000000/41389</f>
        <v>3261.736210104134</v>
      </c>
      <c r="C23" s="109">
        <f>501000000/154331</f>
        <v>3246.269382042493</v>
      </c>
      <c r="D23" s="109">
        <f>636000000/195720</f>
        <v>3249.540159411404</v>
      </c>
      <c r="F23" s="109" t="s">
        <v>303</v>
      </c>
      <c r="G23" s="109">
        <f>534000000/69839</f>
        <v>7646.157591030799</v>
      </c>
      <c r="H23" s="109">
        <f>807000000/234000</f>
        <v>3448.7179487179487</v>
      </c>
      <c r="I23" s="109">
        <f>1341000000/303839</f>
        <v>4413.521634813174</v>
      </c>
    </row>
    <row r="24" spans="1:9" ht="9" customHeight="1">
      <c r="A24" s="270" t="s">
        <v>304</v>
      </c>
      <c r="B24" s="109">
        <f>1016000000/48288</f>
        <v>21040.424121935055</v>
      </c>
      <c r="C24" s="109">
        <f>801000000/325720</f>
        <v>2459.167383028368</v>
      </c>
      <c r="D24" s="109">
        <f>1817000000/374008</f>
        <v>4858.184851660927</v>
      </c>
      <c r="F24" s="109" t="s">
        <v>305</v>
      </c>
      <c r="G24" s="109">
        <f>3733000000/115698</f>
        <v>32265.034832062785</v>
      </c>
      <c r="H24" s="109">
        <f>502000000/178470</f>
        <v>2812.797669076035</v>
      </c>
      <c r="I24" s="109">
        <f>4235000000/294168</f>
        <v>14396.535313154389</v>
      </c>
    </row>
    <row r="25" spans="1:9" ht="9" customHeight="1">
      <c r="A25" s="270" t="s">
        <v>306</v>
      </c>
      <c r="B25" s="109">
        <f>91747000000/1300977</f>
        <v>70521.61567806349</v>
      </c>
      <c r="C25" s="109">
        <f>36537000000/2456632</f>
        <v>14872.801461513161</v>
      </c>
      <c r="D25" s="109">
        <f>128285000000/3757609</f>
        <v>34140.0608738163</v>
      </c>
      <c r="F25" s="109" t="s">
        <v>307</v>
      </c>
      <c r="G25" s="109">
        <f>626000000/52389</f>
        <v>11949.07327874172</v>
      </c>
      <c r="H25" s="109">
        <f>2164000000/238487</f>
        <v>9073.869854541337</v>
      </c>
      <c r="I25" s="109">
        <f>2790000000/290876</f>
        <v>9591.716057701564</v>
      </c>
    </row>
    <row r="26" spans="1:9" ht="9" customHeight="1">
      <c r="A26" s="270" t="s">
        <v>308</v>
      </c>
      <c r="B26" s="109">
        <f>271000000/73752</f>
        <v>3674.476624362729</v>
      </c>
      <c r="C26" s="109">
        <f>1081000000/423823</f>
        <v>2550.5930541759176</v>
      </c>
      <c r="D26" s="109">
        <f>1353000000/497575</f>
        <v>2719.1880621011906</v>
      </c>
      <c r="F26" s="221" t="s">
        <v>309</v>
      </c>
      <c r="G26" s="221">
        <f>5227000000/294694</f>
        <v>17737.04249153359</v>
      </c>
      <c r="H26" s="221">
        <f>4561000000/984322</f>
        <v>4633.6463067979785</v>
      </c>
      <c r="I26" s="221">
        <f>9788000000/1279016</f>
        <v>7652.758057756901</v>
      </c>
    </row>
    <row r="27" spans="1:9" ht="9" customHeight="1">
      <c r="A27" s="270" t="s">
        <v>310</v>
      </c>
      <c r="B27" s="109">
        <f>64000000/22006</f>
        <v>2908.2977369808236</v>
      </c>
      <c r="C27" s="109">
        <f>201000000/155361</f>
        <v>1293.7609824859521</v>
      </c>
      <c r="D27" s="109">
        <f>265000000/177367</f>
        <v>1494.0772522509824</v>
      </c>
      <c r="F27" s="109" t="s">
        <v>311</v>
      </c>
      <c r="G27" s="109">
        <f>437000000/51413</f>
        <v>8499.795771497482</v>
      </c>
      <c r="H27" s="109">
        <f>345000000/185005</f>
        <v>1864.8144644739332</v>
      </c>
      <c r="I27" s="109">
        <f>782000000/236418</f>
        <v>3307.7007672850627</v>
      </c>
    </row>
    <row r="28" spans="1:9" ht="9" customHeight="1">
      <c r="A28" s="270" t="s">
        <v>312</v>
      </c>
      <c r="B28" s="109">
        <f>5085000000/83798</f>
        <v>60681.639179932696</v>
      </c>
      <c r="C28" s="109">
        <f>2097000000/732476</f>
        <v>2862.8924360661645</v>
      </c>
      <c r="D28" s="109">
        <f>7182000000/816274</f>
        <v>8798.516184516473</v>
      </c>
      <c r="F28" s="109" t="s">
        <v>313</v>
      </c>
      <c r="G28" s="109">
        <f>158000000/21091</f>
        <v>7491.347020055948</v>
      </c>
      <c r="H28" s="109">
        <f>70000000/70478</f>
        <v>993.2177417066318</v>
      </c>
      <c r="I28" s="109">
        <f>228000000/91569</f>
        <v>2489.9256298528976</v>
      </c>
    </row>
    <row r="29" spans="1:9" s="221" customFormat="1" ht="9" customHeight="1">
      <c r="A29" s="288" t="s">
        <v>314</v>
      </c>
      <c r="B29" s="221">
        <f>113028000000/2079596</f>
        <v>54350.941240510176</v>
      </c>
      <c r="C29" s="221">
        <f>47809000000/6985844</f>
        <v>6843.697053641621</v>
      </c>
      <c r="D29" s="221">
        <f>160837000000/9065440</f>
        <v>17741.775357842533</v>
      </c>
      <c r="F29" s="221" t="s">
        <v>315</v>
      </c>
      <c r="G29" s="221">
        <f>596000000/72504</f>
        <v>8220.236124903453</v>
      </c>
      <c r="H29" s="221">
        <f>415000000/255483</f>
        <v>1624.3742245080887</v>
      </c>
      <c r="I29" s="221">
        <f>1010000000/327987</f>
        <v>3079.3903416903718</v>
      </c>
    </row>
    <row r="30" spans="1:9" ht="9" customHeight="1">
      <c r="A30" s="289" t="s">
        <v>316</v>
      </c>
      <c r="B30" s="220">
        <f>809000000/97232</f>
        <v>8320.306072075036</v>
      </c>
      <c r="C30" s="220">
        <f>1804000000/365310</f>
        <v>4938.271604938272</v>
      </c>
      <c r="D30" s="220">
        <f>2613000000/462542</f>
        <v>5649.21671977896</v>
      </c>
      <c r="E30" s="220"/>
      <c r="F30" s="109" t="s">
        <v>317</v>
      </c>
      <c r="G30" s="109">
        <f>1916000000/56166</f>
        <v>34113.164547947155</v>
      </c>
      <c r="H30" s="109">
        <f>214000000/384316</f>
        <v>556.8334391490336</v>
      </c>
      <c r="I30" s="109">
        <f>2130000000/440482</f>
        <v>4835.611897875509</v>
      </c>
    </row>
    <row r="31" spans="1:9" ht="9" customHeight="1">
      <c r="A31" s="289" t="s">
        <v>318</v>
      </c>
      <c r="B31" s="220">
        <f>398000000/97232</f>
        <v>4093.302616422577</v>
      </c>
      <c r="C31" s="220">
        <f>1097000000/368808</f>
        <v>2974.4474089499145</v>
      </c>
      <c r="D31" s="220">
        <f>1495000000/473714</f>
        <v>3155.9126392717967</v>
      </c>
      <c r="E31" s="220"/>
      <c r="F31" s="109" t="s">
        <v>319</v>
      </c>
      <c r="G31" s="109">
        <f>1091000000/63284</f>
        <v>17239.744643195754</v>
      </c>
      <c r="H31" s="109">
        <f>63000000/230174</f>
        <v>273.7059789550514</v>
      </c>
      <c r="I31" s="109">
        <f>1154000000/293458</f>
        <v>3932.4196307478414</v>
      </c>
    </row>
    <row r="32" spans="1:9" s="221" customFormat="1" ht="9" customHeight="1">
      <c r="A32" s="288" t="s">
        <v>448</v>
      </c>
      <c r="B32" s="221">
        <f>1207000000/202138</f>
        <v>5971.1682118156905</v>
      </c>
      <c r="C32" s="221">
        <f>2901000000/734118</f>
        <v>3951.6807924611576</v>
      </c>
      <c r="D32" s="221">
        <f>4108000000/936256</f>
        <v>4387.688837241097</v>
      </c>
      <c r="F32" s="109" t="s">
        <v>320</v>
      </c>
      <c r="G32" s="109">
        <f>201000000/74459</f>
        <v>2699.472192750373</v>
      </c>
      <c r="H32" s="109">
        <f>292000000/781234</f>
        <v>373.76765476156953</v>
      </c>
      <c r="I32" s="109">
        <f>492000000/855693</f>
        <v>574.9725660955506</v>
      </c>
    </row>
    <row r="33" spans="1:9" ht="9" customHeight="1">
      <c r="A33" s="270" t="s">
        <v>321</v>
      </c>
      <c r="B33" s="109">
        <f>214000000/35077</f>
        <v>6100.863813895145</v>
      </c>
      <c r="C33" s="109">
        <f>512000000/175971</f>
        <v>2909.570326928869</v>
      </c>
      <c r="D33" s="109">
        <f>726000000/211048</f>
        <v>3439.9757401159927</v>
      </c>
      <c r="F33" s="109" t="s">
        <v>322</v>
      </c>
      <c r="G33" s="109">
        <f>13949000000/1002619</f>
        <v>13912.562997509522</v>
      </c>
      <c r="H33" s="109">
        <f>4366000000/2096747</f>
        <v>2082.2731593272815</v>
      </c>
      <c r="I33" s="109">
        <f>18315000000/3099366</f>
        <v>5909.273057780204</v>
      </c>
    </row>
    <row r="34" spans="1:9" ht="9" customHeight="1">
      <c r="A34" s="270" t="s">
        <v>323</v>
      </c>
      <c r="B34" s="109">
        <f>1758000000/211391</f>
        <v>8316.342701439513</v>
      </c>
      <c r="C34" s="109">
        <f>1116000000/638201</f>
        <v>1748.6653891172216</v>
      </c>
      <c r="D34" s="109">
        <f>2874000000/849592</f>
        <v>3382.8002146912872</v>
      </c>
      <c r="F34" s="109" t="s">
        <v>324</v>
      </c>
      <c r="G34" s="109">
        <f>14613000000/142055</f>
        <v>102868.60722959417</v>
      </c>
      <c r="H34" s="109">
        <f>2494000000/949904</f>
        <v>2625.528474456366</v>
      </c>
      <c r="I34" s="109">
        <f>17107000000/1091959</f>
        <v>15666.339120791165</v>
      </c>
    </row>
    <row r="35" spans="1:9" ht="9" customHeight="1">
      <c r="A35" s="270" t="s">
        <v>325</v>
      </c>
      <c r="B35" s="109">
        <f>387000000/50627</f>
        <v>7644.142453631462</v>
      </c>
      <c r="C35" s="109">
        <f>422000000/192893</f>
        <v>2187.7413903044694</v>
      </c>
      <c r="D35" s="109">
        <f>809000000/243520</f>
        <v>3322.109067017083</v>
      </c>
      <c r="F35" s="221" t="s">
        <v>326</v>
      </c>
      <c r="G35" s="221">
        <f>31770000000/1338583</f>
        <v>23734.05309943425</v>
      </c>
      <c r="H35" s="221">
        <f>7428000000/4442375</f>
        <v>1672.0785615802358</v>
      </c>
      <c r="I35" s="221">
        <f>39198000000/5780958</f>
        <v>6780.537066693791</v>
      </c>
    </row>
    <row r="36" spans="1:9" ht="9" customHeight="1">
      <c r="A36" s="270" t="s">
        <v>327</v>
      </c>
      <c r="B36" s="109">
        <f>7448000000/81771</f>
        <v>91083.63600787566</v>
      </c>
      <c r="C36" s="109">
        <f>1823000000/702284</f>
        <v>2595.815937711809</v>
      </c>
      <c r="D36" s="109">
        <f>9271000000/784055</f>
        <v>11824.42558238899</v>
      </c>
      <c r="F36" s="109" t="s">
        <v>328</v>
      </c>
      <c r="G36" s="109">
        <f>11459000000/331848</f>
        <v>34530.8695547359</v>
      </c>
      <c r="H36" s="109">
        <f>2068000000/1244202</f>
        <v>1662.1095288385648</v>
      </c>
      <c r="I36" s="109">
        <f>13527000000/1576050</f>
        <v>8582.849528885505</v>
      </c>
    </row>
    <row r="37" spans="1:9" ht="9" customHeight="1">
      <c r="A37" s="270" t="s">
        <v>329</v>
      </c>
      <c r="B37" s="109">
        <f>8053000000/277305</f>
        <v>29040.226465444186</v>
      </c>
      <c r="C37" s="109">
        <f>1249000000/537276</f>
        <v>2324.689731162382</v>
      </c>
      <c r="D37" s="109">
        <f>9302000000/814581</f>
        <v>11419.367748572578</v>
      </c>
      <c r="F37" s="109" t="s">
        <v>330</v>
      </c>
      <c r="G37" s="109">
        <f>169000000/93454</f>
        <v>1808.376313480429</v>
      </c>
      <c r="H37" s="109">
        <f>469000000/318109</f>
        <v>1474.337412647866</v>
      </c>
      <c r="I37" s="109">
        <f>639000000/411563</f>
        <v>1552.6177037294412</v>
      </c>
    </row>
    <row r="38" spans="1:9" ht="9" customHeight="1">
      <c r="A38" s="270" t="s">
        <v>331</v>
      </c>
      <c r="B38" s="109">
        <f>8831000000/255268</f>
        <v>34595.01386777818</v>
      </c>
      <c r="C38" s="109">
        <f>827000000/566295</f>
        <v>1460.3695953522458</v>
      </c>
      <c r="D38" s="109">
        <f>9658000000/821563</f>
        <v>11755.641381123542</v>
      </c>
      <c r="F38" s="109" t="s">
        <v>332</v>
      </c>
      <c r="G38" s="109">
        <f>689000000/154891</f>
        <v>4448.289442252939</v>
      </c>
      <c r="H38" s="109">
        <f>316000000/539009</f>
        <v>586.261082839062</v>
      </c>
      <c r="I38" s="109">
        <f>1005000000/693900</f>
        <v>1448.335495028102</v>
      </c>
    </row>
    <row r="39" spans="1:9" ht="9" customHeight="1">
      <c r="A39" s="270" t="s">
        <v>333</v>
      </c>
      <c r="B39" s="109">
        <f>9357000000/109738</f>
        <v>85266.72620240938</v>
      </c>
      <c r="C39" s="109">
        <f>2497000000/677617</f>
        <v>3684.972484456559</v>
      </c>
      <c r="D39" s="109">
        <f>11854000000/787355</f>
        <v>15055.470531081914</v>
      </c>
      <c r="F39" s="109" t="s">
        <v>334</v>
      </c>
      <c r="G39" s="109">
        <f>7009000000/98208</f>
        <v>71368.93124796351</v>
      </c>
      <c r="H39" s="109">
        <f>1112000000/717647</f>
        <v>1549.5083237301906</v>
      </c>
      <c r="I39" s="109">
        <f>8121000000/815855</f>
        <v>9953.974664615649</v>
      </c>
    </row>
    <row r="40" spans="1:9" s="221" customFormat="1" ht="9" customHeight="1">
      <c r="A40" s="288" t="s">
        <v>335</v>
      </c>
      <c r="B40" s="221">
        <f>36047000000/1021177</f>
        <v>35299.46326640729</v>
      </c>
      <c r="C40" s="221">
        <f>8446000000/3490537</f>
        <v>2419.6849940281395</v>
      </c>
      <c r="D40" s="221">
        <f>44494000000/4511714</f>
        <v>9861.883975801658</v>
      </c>
      <c r="F40" s="109" t="s">
        <v>336</v>
      </c>
      <c r="G40" s="109">
        <f>1194000000/208214</f>
        <v>5734.484712843517</v>
      </c>
      <c r="H40" s="109">
        <f>678000000/379657</f>
        <v>1785.8224660680562</v>
      </c>
      <c r="I40" s="109">
        <f>1872000000/587871</f>
        <v>3184.3720816301534</v>
      </c>
    </row>
    <row r="41" spans="1:9" ht="9" customHeight="1">
      <c r="A41" s="270" t="s">
        <v>337</v>
      </c>
      <c r="B41" s="109">
        <f>709000000/37190</f>
        <v>19064.264587254638</v>
      </c>
      <c r="C41" s="109">
        <f>427000000/101115</f>
        <v>4222.914503288335</v>
      </c>
      <c r="D41" s="109">
        <f>1136000000/138305</f>
        <v>8213.730523119193</v>
      </c>
      <c r="F41" s="221" t="s">
        <v>338</v>
      </c>
      <c r="G41" s="221">
        <f>20521000000/886615</f>
        <v>23145.333656660445</v>
      </c>
      <c r="H41" s="221">
        <f>4643000000/3198624</f>
        <v>1451.561671518753</v>
      </c>
      <c r="I41" s="221">
        <f>25164000000/4085239</f>
        <v>6159.737533103938</v>
      </c>
    </row>
    <row r="42" spans="1:9" ht="9" customHeight="1">
      <c r="A42" s="270" t="s">
        <v>339</v>
      </c>
      <c r="B42" s="109">
        <f>140000000/48658</f>
        <v>2877.2247112499485</v>
      </c>
      <c r="C42" s="109">
        <f>493000000/231668</f>
        <v>2128.045306214065</v>
      </c>
      <c r="D42" s="109">
        <f>632000000/280326</f>
        <v>2254.517954096302</v>
      </c>
      <c r="F42" s="109" t="s">
        <v>340</v>
      </c>
      <c r="G42" s="109">
        <f>288000000/56924</f>
        <v>5059.37741550137</v>
      </c>
      <c r="H42" s="109">
        <f>118000000/149269</f>
        <v>790.519129893012</v>
      </c>
      <c r="I42" s="109">
        <f>406000000/206193</f>
        <v>1969.029016503955</v>
      </c>
    </row>
    <row r="43" spans="1:9" ht="9" customHeight="1">
      <c r="A43" s="270" t="s">
        <v>341</v>
      </c>
      <c r="B43" s="109">
        <f>3050000000/216459</f>
        <v>14090.42821042322</v>
      </c>
      <c r="C43" s="109">
        <f>71000000/31264</f>
        <v>2270.9825997952917</v>
      </c>
      <c r="D43" s="109">
        <f>3121000000/247723</f>
        <v>12598.749409622846</v>
      </c>
      <c r="F43" s="109" t="s">
        <v>342</v>
      </c>
      <c r="G43" s="109">
        <f>392000000/69735</f>
        <v>5621.280562128056</v>
      </c>
      <c r="H43" s="109">
        <f>211000000/330255</f>
        <v>638.9002437510409</v>
      </c>
      <c r="I43" s="109">
        <f>603000000/399990</f>
        <v>1507.537688442211</v>
      </c>
    </row>
    <row r="44" spans="1:9" ht="9" customHeight="1">
      <c r="A44" s="270" t="s">
        <v>343</v>
      </c>
      <c r="B44" s="109">
        <f>13495000000/94932</f>
        <v>142154.3841907892</v>
      </c>
      <c r="C44" s="109">
        <f>1021000000/423886</f>
        <v>2408.6664810821776</v>
      </c>
      <c r="D44" s="109">
        <f>14516000000/518818</f>
        <v>27978.982995963903</v>
      </c>
      <c r="F44" s="221" t="s">
        <v>344</v>
      </c>
      <c r="G44" s="221">
        <f>680000000/126659</f>
        <v>5368.746003047553</v>
      </c>
      <c r="H44" s="221">
        <f>329000000/479524</f>
        <v>686.0970462375188</v>
      </c>
      <c r="I44" s="221">
        <f>1009000000/606183</f>
        <v>1664.5138514277041</v>
      </c>
    </row>
    <row r="45" spans="1:9" s="221" customFormat="1" ht="9" customHeight="1">
      <c r="A45" s="288" t="s">
        <v>447</v>
      </c>
      <c r="B45" s="221">
        <f>17393000000/397239</f>
        <v>43784.72405780903</v>
      </c>
      <c r="C45" s="221">
        <f>2012000000/787933</f>
        <v>2553.516606107372</v>
      </c>
      <c r="D45" s="221">
        <f>19405000000/1185172</f>
        <v>16373.150901303778</v>
      </c>
      <c r="F45" s="109" t="s">
        <v>345</v>
      </c>
      <c r="G45" s="109">
        <f>1144000000/96700</f>
        <v>11830.403309203723</v>
      </c>
      <c r="H45" s="109">
        <f>310000000/285037</f>
        <v>1087.5781038952837</v>
      </c>
      <c r="I45" s="109">
        <f>1454000000/381737</f>
        <v>3808.9050838666412</v>
      </c>
    </row>
    <row r="46" spans="1:9" ht="9" customHeight="1">
      <c r="A46" s="270" t="s">
        <v>346</v>
      </c>
      <c r="B46" s="109">
        <f>14762000000/636104</f>
        <v>23206.896985398613</v>
      </c>
      <c r="C46" s="109">
        <f>479000000/271479</f>
        <v>1764.4090334795694</v>
      </c>
      <c r="D46" s="109">
        <f>15241000000/907583</f>
        <v>16792.954473585334</v>
      </c>
      <c r="F46" s="109" t="s">
        <v>347</v>
      </c>
      <c r="G46" s="109">
        <f>2419000000/74185</f>
        <v>32607.670014153806</v>
      </c>
      <c r="H46" s="109">
        <f>750000000/671221</f>
        <v>1117.3667093252445</v>
      </c>
      <c r="I46" s="109">
        <f>3170000000/745406</f>
        <v>4252.715969552163</v>
      </c>
    </row>
    <row r="47" spans="1:9" ht="9" customHeight="1">
      <c r="A47" s="270" t="s">
        <v>348</v>
      </c>
      <c r="B47" s="109">
        <f>282000000/40293</f>
        <v>6998.734271461544</v>
      </c>
      <c r="C47" s="109">
        <f>390000000/176093</f>
        <v>2214.738802791707</v>
      </c>
      <c r="D47" s="109">
        <f>672000000/216386</f>
        <v>3105.561357943675</v>
      </c>
      <c r="F47" s="109" t="s">
        <v>349</v>
      </c>
      <c r="G47" s="109">
        <f>1366000000/59705</f>
        <v>22879.155849593837</v>
      </c>
      <c r="H47" s="109">
        <f>127000000/114453</f>
        <v>1109.6257852568303</v>
      </c>
      <c r="I47" s="109">
        <f>1493000000/174158</f>
        <v>8572.675386717809</v>
      </c>
    </row>
    <row r="48" spans="1:9" ht="9" customHeight="1">
      <c r="A48" s="270" t="s">
        <v>350</v>
      </c>
      <c r="B48" s="109">
        <f>944000000/95504</f>
        <v>9884.402747528899</v>
      </c>
      <c r="C48" s="109">
        <f>331000000/126636</f>
        <v>2613.790707223854</v>
      </c>
      <c r="D48" s="109">
        <f>1275000000/222140</f>
        <v>5739.623660754479</v>
      </c>
      <c r="F48" s="109" t="s">
        <v>351</v>
      </c>
      <c r="G48" s="109">
        <f>9061000000/179617</f>
        <v>50446.2272502046</v>
      </c>
      <c r="H48" s="109">
        <f>265000000/392929</f>
        <v>674.422096612874</v>
      </c>
      <c r="I48" s="109">
        <f>9326000000/572546</f>
        <v>16288.64754971653</v>
      </c>
    </row>
    <row r="49" spans="1:9" ht="9" customHeight="1">
      <c r="A49" s="270" t="s">
        <v>352</v>
      </c>
      <c r="B49" s="109">
        <f>206000000/62459</f>
        <v>3298.163595318529</v>
      </c>
      <c r="C49" s="109">
        <f>484000000/217302</f>
        <v>2227.3149809941924</v>
      </c>
      <c r="D49" s="109">
        <f>689000000/279761</f>
        <v>2462.81647549158</v>
      </c>
      <c r="F49" s="109" t="s">
        <v>353</v>
      </c>
      <c r="G49" s="109">
        <f>92000000/35328</f>
        <v>2604.1666666666665</v>
      </c>
      <c r="H49" s="109">
        <f>46000000/141303</f>
        <v>325.5415667041747</v>
      </c>
      <c r="I49" s="109">
        <f>137000000/176631</f>
        <v>775.6282872202502</v>
      </c>
    </row>
    <row r="50" spans="1:9" s="221" customFormat="1" ht="9" customHeight="1">
      <c r="A50" s="288" t="s">
        <v>354</v>
      </c>
      <c r="B50" s="221">
        <f>16194000000/834360</f>
        <v>19408.888249676398</v>
      </c>
      <c r="C50" s="221">
        <f>1684000000/791510</f>
        <v>2127.578931409584</v>
      </c>
      <c r="D50" s="221">
        <f>17878000000/1625870</f>
        <v>10995.959086519833</v>
      </c>
      <c r="F50" s="221" t="s">
        <v>355</v>
      </c>
      <c r="G50" s="221">
        <f>14082000000/445535</f>
        <v>31606.944460031198</v>
      </c>
      <c r="H50" s="221">
        <f>1498000000/1604943</f>
        <v>933.3664809279832</v>
      </c>
      <c r="I50" s="221">
        <f>15580000000/2050478</f>
        <v>7598.228315543985</v>
      </c>
    </row>
    <row r="51" spans="1:9" ht="9" customHeight="1">
      <c r="A51" s="270" t="s">
        <v>356</v>
      </c>
      <c r="B51" s="109">
        <f>35090000000/381161</f>
        <v>92060.83518513174</v>
      </c>
      <c r="C51" s="109">
        <f>39837000000/535949</f>
        <v>74329.83362222898</v>
      </c>
      <c r="D51" s="109">
        <f>74927000000/917110</f>
        <v>81699.03283139427</v>
      </c>
      <c r="F51" s="109" t="s">
        <v>357</v>
      </c>
      <c r="G51" s="109">
        <f>124000000/55521</f>
        <v>2233.3891680625347</v>
      </c>
      <c r="H51" s="109">
        <f>403000000/413767</f>
        <v>973.9781084523415</v>
      </c>
      <c r="I51" s="109">
        <f>527000000/469288</f>
        <v>1122.977787627214</v>
      </c>
    </row>
    <row r="52" spans="1:9" ht="9" customHeight="1">
      <c r="A52" s="270" t="s">
        <v>358</v>
      </c>
      <c r="B52" s="109">
        <f>2210000000/132127</f>
        <v>16726.331484102415</v>
      </c>
      <c r="C52" s="109">
        <f>963000000/216578</f>
        <v>4446.435002631846</v>
      </c>
      <c r="D52" s="109">
        <f>3173000000/348705</f>
        <v>9099.381999110996</v>
      </c>
      <c r="F52" s="109" t="s">
        <v>359</v>
      </c>
      <c r="G52" s="109">
        <f>97000000/62595</f>
        <v>1549.6445402987458</v>
      </c>
      <c r="H52" s="109">
        <f>647000000/219661</f>
        <v>2945.4477581364013</v>
      </c>
      <c r="I52" s="109">
        <f>744000000/282256</f>
        <v>2635.9049940479563</v>
      </c>
    </row>
    <row r="53" spans="1:9" ht="9" customHeight="1">
      <c r="A53" s="270" t="s">
        <v>360</v>
      </c>
      <c r="B53" s="109">
        <f>594000000/107475</f>
        <v>5526.866713189113</v>
      </c>
      <c r="C53" s="109">
        <f>4426000000/246951</f>
        <v>17922.583832420198</v>
      </c>
      <c r="D53" s="109">
        <f>5020000000/354426</f>
        <v>14163.74645200973</v>
      </c>
      <c r="F53" s="109" t="s">
        <v>361</v>
      </c>
      <c r="G53" s="109">
        <f>4399000000/337862</f>
        <v>13020.108801818495</v>
      </c>
      <c r="H53" s="109">
        <f>728000000/762346</f>
        <v>954.9469663381194</v>
      </c>
      <c r="I53" s="109">
        <f>5127000000/1100208</f>
        <v>4660.0279219929325</v>
      </c>
    </row>
    <row r="54" spans="1:9" ht="9" customHeight="1">
      <c r="A54" s="270" t="s">
        <v>362</v>
      </c>
      <c r="B54" s="109">
        <f>3332000000/176022</f>
        <v>18929.452000318142</v>
      </c>
      <c r="C54" s="109">
        <f>1331000000/449744</f>
        <v>2959.4613824753637</v>
      </c>
      <c r="D54" s="109">
        <f>4663000000/625766</f>
        <v>7451.66723663478</v>
      </c>
      <c r="F54" s="109" t="s">
        <v>363</v>
      </c>
      <c r="G54" s="109">
        <f>86000000/28424</f>
        <v>3025.6121587390935</v>
      </c>
      <c r="H54" s="109">
        <f>24000000/153325</f>
        <v>156.5302462090331</v>
      </c>
      <c r="I54" s="109">
        <f>109000000/181749</f>
        <v>599.7281965787982</v>
      </c>
    </row>
    <row r="55" spans="1:9" ht="9" customHeight="1">
      <c r="A55" s="270" t="s">
        <v>364</v>
      </c>
      <c r="B55" s="109">
        <f>18929000000/168717</f>
        <v>112193.79197117066</v>
      </c>
      <c r="C55" s="109">
        <f>854000000/228375</f>
        <v>3739.463601532567</v>
      </c>
      <c r="D55" s="109">
        <f>19783000000/397092</f>
        <v>49819.68914004815</v>
      </c>
      <c r="F55" s="109" t="s">
        <v>365</v>
      </c>
      <c r="G55" s="109">
        <f>2025000000/259156</f>
        <v>7813.826421151739</v>
      </c>
      <c r="H55" s="109">
        <f>1562000000/417739</f>
        <v>3739.1768544473944</v>
      </c>
      <c r="I55" s="109">
        <f>3587000000/676895</f>
        <v>5299.197068969338</v>
      </c>
    </row>
    <row r="56" spans="1:9" ht="9" customHeight="1">
      <c r="A56" s="270" t="s">
        <v>366</v>
      </c>
      <c r="B56" s="109">
        <f>7845000000/98384</f>
        <v>79738.57537811027</v>
      </c>
      <c r="C56" s="109">
        <f>552000000/167701</f>
        <v>3291.5725010584315</v>
      </c>
      <c r="D56" s="109">
        <f>8397000000/266085</f>
        <v>31557.584982242515</v>
      </c>
      <c r="F56" s="109" t="s">
        <v>367</v>
      </c>
      <c r="G56" s="109">
        <f>4205000000/683794</f>
        <v>6149.512864985653</v>
      </c>
      <c r="H56" s="109">
        <f>156000000/554267</f>
        <v>281.4528016280962</v>
      </c>
      <c r="I56" s="109">
        <f>4361000000/1238061</f>
        <v>3522.4435629585296</v>
      </c>
    </row>
    <row r="57" spans="1:9" ht="9" customHeight="1">
      <c r="A57" s="270" t="s">
        <v>368</v>
      </c>
      <c r="B57" s="109">
        <f>2378000000/138418</f>
        <v>17179.84655174905</v>
      </c>
      <c r="C57" s="109">
        <f>1630000000/212228</f>
        <v>7680.419171834065</v>
      </c>
      <c r="D57" s="109">
        <f>4008000000/350646</f>
        <v>11430.331445389367</v>
      </c>
      <c r="F57" s="109" t="s">
        <v>369</v>
      </c>
      <c r="G57" s="109">
        <f>747000000/69631</f>
        <v>10727.980353578148</v>
      </c>
      <c r="H57" s="109">
        <f>134000000/232223</f>
        <v>577.0315601813774</v>
      </c>
      <c r="I57" s="109">
        <f>881000000/301854</f>
        <v>2918.6295361333623</v>
      </c>
    </row>
    <row r="58" spans="1:9" ht="9" customHeight="1">
      <c r="A58" s="270" t="s">
        <v>370</v>
      </c>
      <c r="B58" s="109">
        <f>4210000000/143664</f>
        <v>29304.488250361956</v>
      </c>
      <c r="C58" s="109">
        <f>1039000000/305621</f>
        <v>3399.6354962518935</v>
      </c>
      <c r="D58" s="109">
        <f>5249000000/449285</f>
        <v>11683.00744516287</v>
      </c>
      <c r="F58" s="109" t="s">
        <v>371</v>
      </c>
      <c r="G58" s="109">
        <f>110000000/126282</f>
        <v>871.0663435802411</v>
      </c>
      <c r="H58" s="109">
        <f>329000000/277196</f>
        <v>1186.8858136481047</v>
      </c>
      <c r="I58" s="109">
        <f>439000000/403478</f>
        <v>1088.0394965772607</v>
      </c>
    </row>
    <row r="59" spans="1:9" ht="9" customHeight="1">
      <c r="A59" s="270" t="s">
        <v>372</v>
      </c>
      <c r="B59" s="109">
        <f>1856000000/131062</f>
        <v>14161.2366666158</v>
      </c>
      <c r="C59" s="109">
        <f>2832000000/140969</f>
        <v>20089.523228511232</v>
      </c>
      <c r="D59" s="109">
        <f>4688000000/272031</f>
        <v>17233.33002488687</v>
      </c>
      <c r="F59" s="109" t="s">
        <v>373</v>
      </c>
      <c r="G59" s="109">
        <f>802000000/69453</f>
        <v>11547.377363108864</v>
      </c>
      <c r="H59" s="109">
        <f>1073000000/364552</f>
        <v>2943.33867322083</v>
      </c>
      <c r="I59" s="109">
        <f>1875000000/434005</f>
        <v>4320.2267254985545</v>
      </c>
    </row>
    <row r="60" spans="1:9" s="221" customFormat="1" ht="9" customHeight="1">
      <c r="A60" s="288" t="s">
        <v>374</v>
      </c>
      <c r="B60" s="221">
        <f>76443000000/1477030</f>
        <v>51754.53443735063</v>
      </c>
      <c r="C60" s="221">
        <f>53465000000/2504116</f>
        <v>21350.847963912216</v>
      </c>
      <c r="D60" s="221">
        <f>129908000000/3981146</f>
        <v>32630.80530078525</v>
      </c>
      <c r="F60" s="221" t="s">
        <v>375</v>
      </c>
      <c r="G60" s="221">
        <f>12595000000/1692718</f>
        <v>7440.695969440863</v>
      </c>
      <c r="H60" s="221">
        <f>5056000000/3395076</f>
        <v>1489.215558061145</v>
      </c>
      <c r="I60" s="221">
        <f>17650000000/5087794</f>
        <v>3469.086995267497</v>
      </c>
    </row>
    <row r="61" spans="1:9" ht="9" customHeight="1">
      <c r="A61" s="270" t="s">
        <v>376</v>
      </c>
      <c r="B61" s="109">
        <f>799000000/91729</f>
        <v>8710.440536798613</v>
      </c>
      <c r="C61" s="109">
        <f>1853000000/229996</f>
        <v>8056.661854988783</v>
      </c>
      <c r="D61" s="109">
        <f>2651000000/321725</f>
        <v>8239.956484575336</v>
      </c>
      <c r="F61" s="109" t="s">
        <v>377</v>
      </c>
      <c r="G61" s="109">
        <f>9346000000/165926</f>
        <v>56326.31414003833</v>
      </c>
      <c r="H61" s="109">
        <f>687000000/600140</f>
        <v>1144.7328956576798</v>
      </c>
      <c r="I61" s="109">
        <f>10032000000/766066</f>
        <v>13095.477413173277</v>
      </c>
    </row>
    <row r="62" spans="1:9" ht="9" customHeight="1">
      <c r="A62" s="270" t="s">
        <v>378</v>
      </c>
      <c r="B62" s="109">
        <f>42330000000/376662</f>
        <v>112381.92331586409</v>
      </c>
      <c r="C62" s="109">
        <f>10526000000/577311</f>
        <v>18232.80692728876</v>
      </c>
      <c r="D62" s="109">
        <f>52856000000/953973</f>
        <v>55406.18025877043</v>
      </c>
      <c r="F62" s="109" t="s">
        <v>379</v>
      </c>
      <c r="G62" s="109">
        <f>34000000/37863</f>
        <v>897.9742756781027</v>
      </c>
      <c r="H62" s="109">
        <f>241000000/231559</f>
        <v>1040.7714664513148</v>
      </c>
      <c r="I62" s="109">
        <f>275000000/269422</f>
        <v>1020.7035802569947</v>
      </c>
    </row>
    <row r="63" spans="1:9" ht="9" customHeight="1">
      <c r="A63" s="270" t="s">
        <v>380</v>
      </c>
      <c r="B63" s="109">
        <f>456000000/72662</f>
        <v>6275.632380061104</v>
      </c>
      <c r="C63" s="109">
        <f>654000000/142783</f>
        <v>4580.377215774987</v>
      </c>
      <c r="D63" s="109">
        <f>1109000000/215445</f>
        <v>5147.485437118522</v>
      </c>
      <c r="F63" s="109" t="s">
        <v>381</v>
      </c>
      <c r="G63" s="109">
        <f>43000000/33007</f>
        <v>1302.7539612809403</v>
      </c>
      <c r="H63" s="109">
        <f>104000000/124208</f>
        <v>837.3051655287904</v>
      </c>
      <c r="I63" s="109">
        <f>147000000/157215</f>
        <v>935.0252838469612</v>
      </c>
    </row>
    <row r="64" spans="1:9" ht="9" customHeight="1">
      <c r="A64" s="270" t="s">
        <v>382</v>
      </c>
      <c r="B64" s="109">
        <f>4641000000/161673</f>
        <v>28706.09192629567</v>
      </c>
      <c r="C64" s="109">
        <f>821000000/172550</f>
        <v>4758.04114749348</v>
      </c>
      <c r="D64" s="109">
        <f>5462000000/334223</f>
        <v>16342.382181956358</v>
      </c>
      <c r="F64" s="109" t="s">
        <v>383</v>
      </c>
      <c r="G64" s="109">
        <f>1506000000/120803</f>
        <v>12466.577816776073</v>
      </c>
      <c r="H64" s="109">
        <f>892000000/338382</f>
        <v>2636.0740228499153</v>
      </c>
      <c r="I64" s="109">
        <f>2398000000/459185</f>
        <v>5222.296024478152</v>
      </c>
    </row>
    <row r="65" spans="1:9" ht="9" customHeight="1">
      <c r="A65" s="270" t="s">
        <v>384</v>
      </c>
      <c r="B65" s="109">
        <f>1376000000/85484</f>
        <v>16096.579476861167</v>
      </c>
      <c r="C65" s="109">
        <f>1535000000/289619</f>
        <v>5300.066639274357</v>
      </c>
      <c r="D65" s="109">
        <f>2911000000/375103</f>
        <v>7760.5351063574535</v>
      </c>
      <c r="F65" s="221" t="s">
        <v>385</v>
      </c>
      <c r="G65" s="221">
        <f>10930000000/357599</f>
        <v>30564.962429984425</v>
      </c>
      <c r="H65" s="221">
        <f>1923000000/1294289</f>
        <v>1485.7578176126042</v>
      </c>
      <c r="I65" s="221">
        <f>12853000000/1651888</f>
        <v>7780.793855273481</v>
      </c>
    </row>
    <row r="66" spans="1:6" ht="9" customHeight="1">
      <c r="A66" s="270" t="s">
        <v>386</v>
      </c>
      <c r="B66" s="109">
        <f>279000000/67909</f>
        <v>4108.439234858413</v>
      </c>
      <c r="C66" s="109">
        <f>1020000000/131625</f>
        <v>7749.28774928775</v>
      </c>
      <c r="D66" s="109">
        <f>1299000000/199534</f>
        <v>6510.168693054818</v>
      </c>
      <c r="F66" s="221"/>
    </row>
    <row r="67" spans="1:4" ht="9" customHeight="1">
      <c r="A67" s="270" t="s">
        <v>387</v>
      </c>
      <c r="B67" s="109">
        <f>2785000000/92379</f>
        <v>30147.54435531885</v>
      </c>
      <c r="C67" s="109">
        <f>1310000000/293919</f>
        <v>4457.0102647328</v>
      </c>
      <c r="D67" s="109">
        <f>4096000000/386298</f>
        <v>10603.213063489844</v>
      </c>
    </row>
    <row r="68" spans="1:9" ht="9" customHeight="1">
      <c r="A68" s="270" t="s">
        <v>388</v>
      </c>
      <c r="B68" s="109">
        <f>2268000000/85866</f>
        <v>26413.248550066382</v>
      </c>
      <c r="C68" s="109">
        <f>2185000000/183399</f>
        <v>11913.914470635063</v>
      </c>
      <c r="D68" s="109">
        <f>4453000000/269265</f>
        <v>16537.611646519228</v>
      </c>
      <c r="F68" s="221" t="s">
        <v>389</v>
      </c>
      <c r="G68" s="221">
        <f>584141000000/17329004</f>
        <v>33708.861744160255</v>
      </c>
      <c r="H68" s="221">
        <f>184205000000/40350891</f>
        <v>4565.078872731708</v>
      </c>
      <c r="I68" s="221">
        <f>768347000000/57679895</f>
        <v>13320.880698551895</v>
      </c>
    </row>
    <row r="69" spans="1:9" ht="9" customHeight="1">
      <c r="A69" s="270" t="s">
        <v>390</v>
      </c>
      <c r="B69" s="109">
        <f>883000000/172473</f>
        <v>5119.641914966401</v>
      </c>
      <c r="C69" s="109">
        <f>267000000/55554</f>
        <v>4806.13457176801</v>
      </c>
      <c r="D69" s="109">
        <f>1150000000/228027</f>
        <v>5043.262420678253</v>
      </c>
      <c r="F69" s="221" t="s">
        <v>391</v>
      </c>
      <c r="G69" s="221">
        <f>306462000000/7395777</f>
        <v>41437.43111778519</v>
      </c>
      <c r="H69" s="221">
        <f>124268000000/18317629</f>
        <v>6784.065776198437</v>
      </c>
      <c r="I69" s="221">
        <f>430729000000/25713406</f>
        <v>16751.145297515235</v>
      </c>
    </row>
    <row r="70" spans="1:9" ht="9" customHeight="1">
      <c r="A70" s="270" t="s">
        <v>392</v>
      </c>
      <c r="B70" s="109">
        <f>1577000000/54256</f>
        <v>29065.90976113241</v>
      </c>
      <c r="C70" s="109">
        <f>915000000/198543</f>
        <v>4608.5734576388995</v>
      </c>
      <c r="D70" s="109">
        <f>2492000000/252799</f>
        <v>9857.633930513966</v>
      </c>
      <c r="F70" s="221" t="s">
        <v>393</v>
      </c>
      <c r="G70" s="221">
        <f>181279000000/4718320</f>
        <v>38420.24279828413</v>
      </c>
      <c r="H70" s="221">
        <f>34085000000/6378626</f>
        <v>5343.627295282715</v>
      </c>
      <c r="I70" s="221">
        <f>215364000000/11096946</f>
        <v>19407.50184780569</v>
      </c>
    </row>
    <row r="71" spans="1:9" s="221" customFormat="1" ht="9" customHeight="1">
      <c r="A71" s="288" t="s">
        <v>394</v>
      </c>
      <c r="B71" s="221">
        <f>57394000000/1261093</f>
        <v>45511.31439156351</v>
      </c>
      <c r="C71" s="221">
        <f>21085000000/2275299</f>
        <v>9266.913930872382</v>
      </c>
      <c r="D71" s="221">
        <f>78479000000/3536392</f>
        <v>22191.827150383782</v>
      </c>
      <c r="F71" s="221" t="s">
        <v>395</v>
      </c>
      <c r="G71" s="221">
        <f>(72876+23525)*1000000/5214907</f>
        <v>18485.660434596437</v>
      </c>
      <c r="H71" s="221">
        <f>(18874+6979)*1000000/15654636</f>
        <v>1651.4596698383789</v>
      </c>
      <c r="I71" s="221">
        <f>(91750+30503)*1000000/20869543</f>
        <v>5857.962486289231</v>
      </c>
    </row>
    <row r="72" spans="1:9" ht="6" customHeight="1">
      <c r="A72" s="279"/>
      <c r="B72" s="241"/>
      <c r="C72" s="241"/>
      <c r="D72" s="241"/>
      <c r="E72" s="241"/>
      <c r="F72" s="241"/>
      <c r="G72" s="241"/>
      <c r="H72" s="241"/>
      <c r="I72" s="241"/>
    </row>
    <row r="74" s="221" customFormat="1" ht="8.25">
      <c r="A74" s="288"/>
    </row>
    <row r="79" s="221" customFormat="1" ht="8.25">
      <c r="A79" s="288"/>
    </row>
    <row r="85" s="221" customFormat="1" ht="8.25">
      <c r="A85" s="288"/>
    </row>
    <row r="90" s="221" customFormat="1" ht="8.25">
      <c r="A90" s="288"/>
    </row>
    <row r="93" s="221" customFormat="1" ht="8.25">
      <c r="A93" s="288"/>
    </row>
    <row r="99" s="221" customFormat="1" ht="8.25">
      <c r="A99" s="288"/>
    </row>
    <row r="105" s="221" customFormat="1" ht="8.25">
      <c r="A105" s="288"/>
    </row>
    <row r="108" s="221" customFormat="1" ht="8.25">
      <c r="A108" s="288"/>
    </row>
    <row r="114" s="221" customFormat="1" ht="8.25">
      <c r="A114" s="288"/>
    </row>
    <row r="124" s="221" customFormat="1" ht="8.25">
      <c r="A124" s="288"/>
    </row>
    <row r="129" s="221" customFormat="1" ht="8.25">
      <c r="A129" s="288"/>
    </row>
    <row r="130" s="221" customFormat="1" ht="8.25">
      <c r="A130" s="288"/>
    </row>
  </sheetData>
  <mergeCells count="2">
    <mergeCell ref="B4:D4"/>
    <mergeCell ref="G4:I4"/>
  </mergeCells>
  <printOptions horizontalCentered="1"/>
  <pageMargins left="1.1811023622047245" right="1.1811023622047245" top="1.1811023622047245" bottom="1.5748031496062993" header="0" footer="1.2598425196850394"/>
  <pageSetup firstPageNumber="192" useFirstPageNumber="1" horizontalDpi="300" verticalDpi="300" orientation="portrait" paperSize="9" r:id="rId2"/>
  <headerFooter alignWithMargins="0">
    <oddFooter>&amp;C&amp;9 192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">
      <selection activeCell="H43" sqref="H43"/>
    </sheetView>
  </sheetViews>
  <sheetFormatPr defaultColWidth="9.140625" defaultRowHeight="12.75"/>
  <cols>
    <col min="1" max="1" width="9.140625" style="226" customWidth="1"/>
    <col min="2" max="2" width="14.140625" style="213" customWidth="1"/>
    <col min="3" max="6" width="13.28125" style="213" customWidth="1"/>
    <col min="7" max="16384" width="9.140625" style="213" customWidth="1"/>
  </cols>
  <sheetData>
    <row r="1" ht="9" customHeight="1"/>
    <row r="2" s="209" customFormat="1" ht="12">
      <c r="A2" s="223" t="s">
        <v>461</v>
      </c>
    </row>
    <row r="3" spans="1:2" s="209" customFormat="1" ht="12">
      <c r="A3" s="245" t="s">
        <v>460</v>
      </c>
      <c r="B3" s="244"/>
    </row>
    <row r="4" spans="1:2" s="209" customFormat="1" ht="12">
      <c r="A4" s="249" t="s">
        <v>454</v>
      </c>
      <c r="B4" s="246"/>
    </row>
    <row r="5" spans="1:7" s="209" customFormat="1" ht="9" customHeight="1">
      <c r="A5" s="248"/>
      <c r="B5" s="224"/>
      <c r="C5" s="224"/>
      <c r="D5" s="224"/>
      <c r="E5" s="224"/>
      <c r="F5" s="224"/>
      <c r="G5" s="246"/>
    </row>
    <row r="6" spans="1:9" s="225" customFormat="1" ht="12" customHeight="1">
      <c r="A6" s="23" t="s">
        <v>421</v>
      </c>
      <c r="C6" s="3">
        <v>1997</v>
      </c>
      <c r="D6" s="3">
        <v>1998</v>
      </c>
      <c r="E6" s="3">
        <v>1999</v>
      </c>
      <c r="F6" s="3">
        <v>2000</v>
      </c>
      <c r="G6" s="222"/>
      <c r="H6" s="222"/>
      <c r="I6" s="222"/>
    </row>
    <row r="7" spans="1:9" s="225" customFormat="1" ht="9.75" customHeight="1">
      <c r="A7" s="23" t="s">
        <v>422</v>
      </c>
      <c r="G7" s="222"/>
      <c r="H7" s="222"/>
      <c r="I7" s="222"/>
    </row>
    <row r="8" spans="1:9" s="23" customFormat="1" ht="9.75" customHeight="1">
      <c r="A8" s="23" t="s">
        <v>423</v>
      </c>
      <c r="C8" s="225"/>
      <c r="D8" s="225"/>
      <c r="E8" s="225"/>
      <c r="F8" s="225"/>
      <c r="G8" s="222"/>
      <c r="H8" s="222"/>
      <c r="I8" s="222"/>
    </row>
    <row r="9" spans="1:9" s="23" customFormat="1" ht="9.75" customHeight="1">
      <c r="A9" s="76" t="s">
        <v>424</v>
      </c>
      <c r="B9" s="76"/>
      <c r="C9" s="76"/>
      <c r="D9" s="76"/>
      <c r="E9" s="76"/>
      <c r="F9" s="76"/>
      <c r="G9" s="222"/>
      <c r="H9" s="222"/>
      <c r="I9" s="222"/>
    </row>
    <row r="10" ht="10.5" customHeight="1"/>
    <row r="11" spans="1:6" s="18" customFormat="1" ht="10.5" customHeight="1">
      <c r="A11" s="403" t="s">
        <v>421</v>
      </c>
      <c r="B11" s="403"/>
      <c r="C11" s="403"/>
      <c r="D11" s="403"/>
      <c r="E11" s="403"/>
      <c r="F11" s="403"/>
    </row>
    <row r="12" spans="1:6" s="18" customFormat="1" ht="10.5" customHeight="1">
      <c r="A12" s="210"/>
      <c r="B12" s="247"/>
      <c r="C12" s="247"/>
      <c r="D12" s="247"/>
      <c r="E12" s="247"/>
      <c r="F12" s="247"/>
    </row>
    <row r="13" spans="1:8" s="18" customFormat="1" ht="12">
      <c r="A13" s="52" t="s">
        <v>396</v>
      </c>
      <c r="C13" s="250">
        <v>22.9</v>
      </c>
      <c r="D13" s="250">
        <v>24</v>
      </c>
      <c r="E13" s="250">
        <v>22.4</v>
      </c>
      <c r="F13" s="250">
        <v>22.3</v>
      </c>
      <c r="H13" s="244"/>
    </row>
    <row r="14" spans="1:6" s="18" customFormat="1" ht="8.25">
      <c r="A14" s="52" t="s">
        <v>397</v>
      </c>
      <c r="C14" s="250">
        <v>13.2</v>
      </c>
      <c r="D14" s="250">
        <v>14.1</v>
      </c>
      <c r="E14" s="250">
        <v>14.1</v>
      </c>
      <c r="F14" s="250">
        <v>13.9</v>
      </c>
    </row>
    <row r="15" s="18" customFormat="1" ht="10.5" customHeight="1">
      <c r="A15" s="52"/>
    </row>
    <row r="16" spans="1:6" s="18" customFormat="1" ht="10.5" customHeight="1">
      <c r="A16" s="403" t="s">
        <v>425</v>
      </c>
      <c r="B16" s="403"/>
      <c r="C16" s="403"/>
      <c r="D16" s="403"/>
      <c r="E16" s="403"/>
      <c r="F16" s="403"/>
    </row>
    <row r="17" spans="1:6" s="18" customFormat="1" ht="10.5" customHeight="1">
      <c r="A17" s="210"/>
      <c r="B17" s="247"/>
      <c r="C17" s="247"/>
      <c r="D17" s="247"/>
      <c r="E17" s="247"/>
      <c r="F17" s="247"/>
    </row>
    <row r="18" spans="1:6" s="18" customFormat="1" ht="8.25">
      <c r="A18" s="52" t="s">
        <v>398</v>
      </c>
      <c r="C18" s="250">
        <v>11</v>
      </c>
      <c r="D18" s="250">
        <v>12.9</v>
      </c>
      <c r="E18" s="250">
        <v>15</v>
      </c>
      <c r="F18" s="250">
        <v>12.4</v>
      </c>
    </row>
    <row r="19" spans="1:6" s="18" customFormat="1" ht="8.25">
      <c r="A19" s="228" t="s">
        <v>399</v>
      </c>
      <c r="C19" s="250">
        <v>42.6</v>
      </c>
      <c r="D19" s="250">
        <v>44.3</v>
      </c>
      <c r="E19" s="250">
        <v>45.4</v>
      </c>
      <c r="F19" s="250">
        <v>44.6</v>
      </c>
    </row>
    <row r="20" spans="1:6" s="18" customFormat="1" ht="8.25">
      <c r="A20" s="229" t="s">
        <v>400</v>
      </c>
      <c r="B20" s="52"/>
      <c r="C20" s="250">
        <v>51.4</v>
      </c>
      <c r="D20" s="250">
        <v>51.4</v>
      </c>
      <c r="E20" s="250">
        <v>51.9</v>
      </c>
      <c r="F20" s="250">
        <v>48.4</v>
      </c>
    </row>
    <row r="21" spans="1:6" s="18" customFormat="1" ht="8.25">
      <c r="A21" s="52" t="s">
        <v>401</v>
      </c>
      <c r="B21" s="52"/>
      <c r="C21" s="250">
        <v>41</v>
      </c>
      <c r="D21" s="250">
        <v>41.9</v>
      </c>
      <c r="E21" s="250">
        <v>41.4</v>
      </c>
      <c r="F21" s="250">
        <v>43.3</v>
      </c>
    </row>
    <row r="22" spans="1:6" s="18" customFormat="1" ht="8.25">
      <c r="A22" s="52" t="s">
        <v>402</v>
      </c>
      <c r="B22" s="52"/>
      <c r="C22" s="250">
        <v>33.6</v>
      </c>
      <c r="D22" s="250">
        <v>32.4</v>
      </c>
      <c r="E22" s="250">
        <v>31.9</v>
      </c>
      <c r="F22" s="250">
        <v>30.5</v>
      </c>
    </row>
    <row r="23" spans="1:6" s="18" customFormat="1" ht="8.25">
      <c r="A23" s="52" t="s">
        <v>403</v>
      </c>
      <c r="B23" s="52"/>
      <c r="C23" s="250">
        <v>29.5</v>
      </c>
      <c r="D23" s="250">
        <v>30.2</v>
      </c>
      <c r="E23" s="250">
        <v>27.6</v>
      </c>
      <c r="F23" s="250">
        <v>30.3</v>
      </c>
    </row>
    <row r="24" spans="1:6" s="18" customFormat="1" ht="8.25">
      <c r="A24" s="52" t="s">
        <v>404</v>
      </c>
      <c r="B24" s="52"/>
      <c r="C24" s="250">
        <v>22.8</v>
      </c>
      <c r="D24" s="250">
        <v>25.5</v>
      </c>
      <c r="E24" s="250">
        <v>23.4</v>
      </c>
      <c r="F24" s="250">
        <v>23.7</v>
      </c>
    </row>
    <row r="25" spans="1:6" s="18" customFormat="1" ht="8.25">
      <c r="A25" s="52" t="s">
        <v>405</v>
      </c>
      <c r="B25" s="52"/>
      <c r="C25" s="250">
        <v>16.1</v>
      </c>
      <c r="D25" s="250">
        <v>17</v>
      </c>
      <c r="E25" s="250">
        <v>16.1</v>
      </c>
      <c r="F25" s="250">
        <v>15.4</v>
      </c>
    </row>
    <row r="26" spans="1:6" s="18" customFormat="1" ht="8.25">
      <c r="A26" s="52" t="s">
        <v>406</v>
      </c>
      <c r="B26" s="52"/>
      <c r="C26" s="250">
        <v>9.9</v>
      </c>
      <c r="D26" s="250">
        <v>10.5</v>
      </c>
      <c r="E26" s="250">
        <v>11.6</v>
      </c>
      <c r="F26" s="250">
        <v>11.1</v>
      </c>
    </row>
    <row r="27" spans="1:6" s="18" customFormat="1" ht="8.25">
      <c r="A27" s="52" t="s">
        <v>407</v>
      </c>
      <c r="B27" s="52"/>
      <c r="C27" s="250">
        <v>8.1</v>
      </c>
      <c r="D27" s="250">
        <v>9.9</v>
      </c>
      <c r="E27" s="250">
        <v>7.4</v>
      </c>
      <c r="F27" s="250">
        <v>10.1</v>
      </c>
    </row>
    <row r="28" spans="1:6" s="18" customFormat="1" ht="8.25">
      <c r="A28" s="52" t="s">
        <v>408</v>
      </c>
      <c r="B28" s="52"/>
      <c r="C28" s="250">
        <v>6.1</v>
      </c>
      <c r="D28" s="250">
        <v>8</v>
      </c>
      <c r="E28" s="250">
        <v>7.5</v>
      </c>
      <c r="F28" s="250">
        <v>7.7</v>
      </c>
    </row>
    <row r="29" spans="1:6" s="18" customFormat="1" ht="8.25">
      <c r="A29" s="52" t="s">
        <v>409</v>
      </c>
      <c r="B29" s="52"/>
      <c r="C29" s="250">
        <v>2.9</v>
      </c>
      <c r="D29" s="250">
        <v>3.1</v>
      </c>
      <c r="E29" s="250">
        <v>2.9</v>
      </c>
      <c r="F29" s="250">
        <v>3</v>
      </c>
    </row>
    <row r="30" spans="1:2" s="18" customFormat="1" ht="10.5" customHeight="1">
      <c r="A30" s="52"/>
      <c r="B30" s="52"/>
    </row>
    <row r="31" spans="1:6" s="18" customFormat="1" ht="10.5" customHeight="1">
      <c r="A31" s="403" t="s">
        <v>472</v>
      </c>
      <c r="B31" s="403"/>
      <c r="C31" s="403"/>
      <c r="D31" s="403"/>
      <c r="E31" s="403"/>
      <c r="F31" s="403"/>
    </row>
    <row r="32" spans="1:5" s="18" customFormat="1" ht="10.5" customHeight="1">
      <c r="A32" s="52"/>
      <c r="D32" s="250"/>
      <c r="E32" s="250"/>
    </row>
    <row r="33" spans="1:6" s="18" customFormat="1" ht="8.25">
      <c r="A33" s="52" t="s">
        <v>410</v>
      </c>
      <c r="C33" s="250">
        <v>26.2</v>
      </c>
      <c r="D33" s="250">
        <v>24.6</v>
      </c>
      <c r="E33" s="250">
        <v>23.2</v>
      </c>
      <c r="F33" s="250">
        <v>22.6</v>
      </c>
    </row>
    <row r="34" spans="1:6" s="18" customFormat="1" ht="8.25">
      <c r="A34" s="52" t="s">
        <v>411</v>
      </c>
      <c r="C34" s="250">
        <v>29.4</v>
      </c>
      <c r="D34" s="250">
        <v>26.1</v>
      </c>
      <c r="E34" s="250">
        <v>23.9</v>
      </c>
      <c r="F34" s="250">
        <v>23.9</v>
      </c>
    </row>
    <row r="35" spans="1:6" s="18" customFormat="1" ht="8.25">
      <c r="A35" s="52" t="s">
        <v>412</v>
      </c>
      <c r="C35" s="250">
        <v>23.3</v>
      </c>
      <c r="D35" s="250">
        <v>19</v>
      </c>
      <c r="E35" s="250">
        <v>18</v>
      </c>
      <c r="F35" s="250">
        <v>18.3</v>
      </c>
    </row>
    <row r="36" spans="1:6" s="18" customFormat="1" ht="8.25">
      <c r="A36" s="53" t="s">
        <v>438</v>
      </c>
      <c r="C36" s="250">
        <v>18.1</v>
      </c>
      <c r="D36" s="250">
        <v>13.8</v>
      </c>
      <c r="E36" s="250">
        <v>14.1</v>
      </c>
      <c r="F36" s="250">
        <v>13.5</v>
      </c>
    </row>
    <row r="37" s="18" customFormat="1" ht="10.5" customHeight="1">
      <c r="A37" s="210"/>
    </row>
    <row r="38" spans="1:6" s="18" customFormat="1" ht="10.5" customHeight="1">
      <c r="A38" s="403" t="s">
        <v>424</v>
      </c>
      <c r="B38" s="403"/>
      <c r="C38" s="403"/>
      <c r="D38" s="403"/>
      <c r="E38" s="403"/>
      <c r="F38" s="403"/>
    </row>
    <row r="39" spans="1:6" s="18" customFormat="1" ht="10.5" customHeight="1">
      <c r="A39" s="227"/>
      <c r="C39" s="250"/>
      <c r="D39" s="250"/>
      <c r="E39" s="250"/>
      <c r="F39" s="250"/>
    </row>
    <row r="40" spans="1:6" s="18" customFormat="1" ht="8.25">
      <c r="A40" s="53" t="s">
        <v>439</v>
      </c>
      <c r="C40" s="250">
        <v>20.3</v>
      </c>
      <c r="D40" s="250">
        <v>22</v>
      </c>
      <c r="E40" s="250">
        <v>20.9</v>
      </c>
      <c r="F40" s="250">
        <v>20.3</v>
      </c>
    </row>
    <row r="41" spans="1:6" s="18" customFormat="1" ht="8.25">
      <c r="A41" s="53" t="s">
        <v>440</v>
      </c>
      <c r="C41" s="250">
        <v>22.2</v>
      </c>
      <c r="D41" s="250">
        <v>23</v>
      </c>
      <c r="E41" s="250">
        <v>22.2</v>
      </c>
      <c r="F41" s="250">
        <v>21.2</v>
      </c>
    </row>
    <row r="42" spans="1:6" s="18" customFormat="1" ht="8.25">
      <c r="A42" s="53" t="s">
        <v>441</v>
      </c>
      <c r="C42" s="250">
        <v>19.3</v>
      </c>
      <c r="D42" s="250">
        <v>20.4</v>
      </c>
      <c r="E42" s="250">
        <v>19.4</v>
      </c>
      <c r="F42" s="250">
        <v>19.5</v>
      </c>
    </row>
    <row r="43" spans="1:6" s="18" customFormat="1" ht="8.25">
      <c r="A43" s="53" t="s">
        <v>442</v>
      </c>
      <c r="C43" s="250">
        <v>13.4</v>
      </c>
      <c r="D43" s="250">
        <v>13.9</v>
      </c>
      <c r="E43" s="250">
        <v>13</v>
      </c>
      <c r="F43" s="250">
        <v>13.8</v>
      </c>
    </row>
    <row r="44" spans="1:6" s="18" customFormat="1" ht="8.25">
      <c r="A44" s="53" t="s">
        <v>443</v>
      </c>
      <c r="C44" s="250">
        <v>12.8</v>
      </c>
      <c r="D44" s="250">
        <v>13.3</v>
      </c>
      <c r="E44" s="250">
        <v>14.5</v>
      </c>
      <c r="F44" s="250">
        <v>14.1</v>
      </c>
    </row>
    <row r="45" spans="1:6" s="18" customFormat="1" ht="8.25">
      <c r="A45" s="53"/>
      <c r="C45" s="250"/>
      <c r="D45" s="250"/>
      <c r="E45" s="250"/>
      <c r="F45" s="250"/>
    </row>
    <row r="46" spans="1:7" s="18" customFormat="1" ht="9" customHeight="1">
      <c r="A46" s="281" t="s">
        <v>0</v>
      </c>
      <c r="B46" s="1"/>
      <c r="C46" s="290">
        <v>17.9</v>
      </c>
      <c r="D46" s="290">
        <v>18.9</v>
      </c>
      <c r="E46" s="290">
        <v>18.1</v>
      </c>
      <c r="F46" s="290">
        <v>18</v>
      </c>
      <c r="G46" s="1"/>
    </row>
    <row r="47" spans="1:7" s="18" customFormat="1" ht="9" customHeight="1">
      <c r="A47" s="230"/>
      <c r="B47" s="43"/>
      <c r="C47" s="251"/>
      <c r="D47" s="251"/>
      <c r="E47" s="251"/>
      <c r="F47" s="251"/>
      <c r="G47" s="1"/>
    </row>
    <row r="48" ht="9" customHeight="1"/>
    <row r="49" ht="11.25">
      <c r="A49" s="52" t="s">
        <v>463</v>
      </c>
    </row>
    <row r="50" ht="9" customHeight="1">
      <c r="A50" s="52" t="s">
        <v>473</v>
      </c>
    </row>
  </sheetData>
  <mergeCells count="4">
    <mergeCell ref="A38:F38"/>
    <mergeCell ref="A11:F11"/>
    <mergeCell ref="A16:F16"/>
    <mergeCell ref="A31:F31"/>
  </mergeCells>
  <printOptions horizontalCentered="1"/>
  <pageMargins left="1.1811023622047245" right="1.1811023622047245" top="1.1811023622047245" bottom="1.5748031496062993" header="0" footer="1.2598425196850394"/>
  <pageSetup firstPageNumber="193" useFirstPageNumber="1" horizontalDpi="300" verticalDpi="300" orientation="portrait" paperSize="9" r:id="rId2"/>
  <headerFooter alignWithMargins="0">
    <oddFooter>&amp;C&amp;9 193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4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21.7109375" style="145" customWidth="1"/>
    <col min="2" max="8" width="7.8515625" style="137" customWidth="1"/>
    <col min="9" max="16384" width="9.140625" style="137" customWidth="1"/>
  </cols>
  <sheetData>
    <row r="1" ht="9" customHeight="1"/>
    <row r="2" ht="12.75" customHeight="1">
      <c r="A2" s="245" t="s">
        <v>462</v>
      </c>
    </row>
    <row r="3" ht="12.75" customHeight="1">
      <c r="A3" s="291" t="s">
        <v>454</v>
      </c>
    </row>
    <row r="4" ht="12.75" customHeight="1">
      <c r="A4" s="291"/>
    </row>
    <row r="5" ht="12.75" customHeight="1">
      <c r="A5" s="292"/>
    </row>
    <row r="6" ht="9" customHeight="1">
      <c r="A6" s="292"/>
    </row>
    <row r="7" spans="1:7" ht="12" customHeight="1">
      <c r="A7" s="293" t="s">
        <v>421</v>
      </c>
      <c r="B7" s="268">
        <v>1995</v>
      </c>
      <c r="C7" s="268">
        <v>1996</v>
      </c>
      <c r="D7" s="268">
        <v>1997</v>
      </c>
      <c r="E7" s="268">
        <v>1998</v>
      </c>
      <c r="F7" s="268">
        <v>1999</v>
      </c>
      <c r="G7" s="268">
        <v>2000</v>
      </c>
    </row>
    <row r="8" spans="1:8" ht="10.5" customHeight="1">
      <c r="A8" s="50" t="s">
        <v>422</v>
      </c>
      <c r="B8" s="298"/>
      <c r="C8" s="298"/>
      <c r="D8" s="298"/>
      <c r="E8" s="298"/>
      <c r="F8" s="298"/>
      <c r="G8" s="298"/>
      <c r="H8" s="298"/>
    </row>
    <row r="9" spans="1:8" ht="10.5" customHeight="1">
      <c r="A9" s="50" t="s">
        <v>423</v>
      </c>
      <c r="B9" s="50"/>
      <c r="C9" s="50"/>
      <c r="D9" s="50"/>
      <c r="E9" s="50"/>
      <c r="F9" s="50"/>
      <c r="G9" s="50"/>
      <c r="H9" s="50"/>
    </row>
    <row r="10" spans="1:8" ht="10.5" customHeight="1">
      <c r="A10" s="294" t="s">
        <v>424</v>
      </c>
      <c r="B10" s="294"/>
      <c r="C10" s="294"/>
      <c r="D10" s="294"/>
      <c r="E10" s="294"/>
      <c r="F10" s="294"/>
      <c r="G10" s="294"/>
      <c r="H10" s="50"/>
    </row>
    <row r="11" ht="10.5" customHeight="1">
      <c r="A11" s="50"/>
    </row>
    <row r="12" spans="1:8" s="1" customFormat="1" ht="10.5" customHeight="1">
      <c r="A12" s="404" t="s">
        <v>421</v>
      </c>
      <c r="B12" s="404"/>
      <c r="C12" s="404"/>
      <c r="D12" s="404"/>
      <c r="E12" s="404"/>
      <c r="F12" s="404"/>
      <c r="G12" s="404"/>
      <c r="H12" s="404"/>
    </row>
    <row r="13" spans="1:8" s="1" customFormat="1" ht="10.5" customHeight="1">
      <c r="A13" s="53"/>
      <c r="B13" s="253"/>
      <c r="C13" s="253"/>
      <c r="D13" s="253"/>
      <c r="E13" s="253"/>
      <c r="F13" s="253"/>
      <c r="G13" s="253"/>
      <c r="H13" s="253"/>
    </row>
    <row r="14" spans="1:8" s="1" customFormat="1" ht="9" customHeight="1">
      <c r="A14" s="52" t="s">
        <v>396</v>
      </c>
      <c r="B14" s="253">
        <v>39.6</v>
      </c>
      <c r="C14" s="253">
        <v>39.4</v>
      </c>
      <c r="D14" s="253">
        <v>40.5</v>
      </c>
      <c r="E14" s="253">
        <v>38.6</v>
      </c>
      <c r="F14" s="253">
        <v>38.7</v>
      </c>
      <c r="G14" s="253">
        <v>40.4</v>
      </c>
      <c r="H14" s="253"/>
    </row>
    <row r="15" spans="1:8" s="1" customFormat="1" ht="9" customHeight="1">
      <c r="A15" s="52" t="s">
        <v>397</v>
      </c>
      <c r="B15" s="253">
        <v>15.1</v>
      </c>
      <c r="C15" s="253">
        <v>14.1</v>
      </c>
      <c r="D15" s="253">
        <v>16.1</v>
      </c>
      <c r="E15" s="253">
        <v>15.1</v>
      </c>
      <c r="F15" s="253">
        <v>15.7</v>
      </c>
      <c r="G15" s="253">
        <v>15.9</v>
      </c>
      <c r="H15" s="253"/>
    </row>
    <row r="16" spans="1:8" s="1" customFormat="1" ht="10.5" customHeight="1">
      <c r="A16" s="53"/>
      <c r="B16" s="253"/>
      <c r="C16" s="253"/>
      <c r="D16" s="253"/>
      <c r="E16" s="253"/>
      <c r="F16" s="253"/>
      <c r="G16" s="253"/>
      <c r="H16" s="253"/>
    </row>
    <row r="17" spans="1:8" s="1" customFormat="1" ht="10.5" customHeight="1">
      <c r="A17" s="404" t="s">
        <v>425</v>
      </c>
      <c r="B17" s="404"/>
      <c r="C17" s="404"/>
      <c r="D17" s="404"/>
      <c r="E17" s="404"/>
      <c r="F17" s="404"/>
      <c r="G17" s="404"/>
      <c r="H17" s="404"/>
    </row>
    <row r="18" spans="1:8" s="1" customFormat="1" ht="10.5" customHeight="1">
      <c r="A18" s="281"/>
      <c r="B18" s="253"/>
      <c r="C18" s="253"/>
      <c r="D18" s="253"/>
      <c r="E18" s="253"/>
      <c r="F18" s="253"/>
      <c r="G18" s="253"/>
      <c r="H18" s="254"/>
    </row>
    <row r="19" spans="1:8" s="1" customFormat="1" ht="9" customHeight="1">
      <c r="A19" s="295" t="s">
        <v>399</v>
      </c>
      <c r="B19" s="253">
        <v>26.9</v>
      </c>
      <c r="C19" s="253">
        <v>25.7</v>
      </c>
      <c r="D19" s="253">
        <v>28.5</v>
      </c>
      <c r="E19" s="219">
        <v>27.7</v>
      </c>
      <c r="F19" s="219">
        <v>29.7</v>
      </c>
      <c r="G19" s="253">
        <v>30.8</v>
      </c>
      <c r="H19" s="253"/>
    </row>
    <row r="20" spans="1:8" s="1" customFormat="1" ht="9" customHeight="1">
      <c r="A20" s="295" t="s">
        <v>426</v>
      </c>
      <c r="B20" s="253">
        <v>43.4</v>
      </c>
      <c r="C20" s="253">
        <v>41.7</v>
      </c>
      <c r="D20" s="253">
        <v>47.2</v>
      </c>
      <c r="E20" s="219">
        <v>42.1</v>
      </c>
      <c r="F20" s="219">
        <v>43.6</v>
      </c>
      <c r="G20" s="253">
        <v>43.7</v>
      </c>
      <c r="H20" s="253"/>
    </row>
    <row r="21" spans="1:8" s="1" customFormat="1" ht="9" customHeight="1">
      <c r="A21" s="53" t="s">
        <v>427</v>
      </c>
      <c r="B21" s="253">
        <v>48.1</v>
      </c>
      <c r="C21" s="253">
        <v>49.4</v>
      </c>
      <c r="D21" s="253">
        <v>53.8</v>
      </c>
      <c r="E21" s="219">
        <v>50.8</v>
      </c>
      <c r="F21" s="219">
        <v>48.5</v>
      </c>
      <c r="G21" s="253">
        <v>50.5</v>
      </c>
      <c r="H21" s="253"/>
    </row>
    <row r="22" spans="1:8" s="1" customFormat="1" ht="9" customHeight="1">
      <c r="A22" s="53" t="s">
        <v>428</v>
      </c>
      <c r="B22" s="253">
        <v>49.1</v>
      </c>
      <c r="C22" s="253">
        <v>48.1</v>
      </c>
      <c r="D22" s="253">
        <v>50.6</v>
      </c>
      <c r="E22" s="219">
        <v>50</v>
      </c>
      <c r="F22" s="219">
        <v>49</v>
      </c>
      <c r="G22" s="253">
        <v>48.9</v>
      </c>
      <c r="H22" s="253"/>
    </row>
    <row r="23" spans="1:8" s="1" customFormat="1" ht="9" customHeight="1">
      <c r="A23" s="53" t="s">
        <v>429</v>
      </c>
      <c r="B23" s="253">
        <v>46.5</v>
      </c>
      <c r="C23" s="253">
        <v>45.4</v>
      </c>
      <c r="D23" s="253">
        <v>46.2</v>
      </c>
      <c r="E23" s="219">
        <v>44.2</v>
      </c>
      <c r="F23" s="219">
        <v>46.9</v>
      </c>
      <c r="G23" s="253">
        <v>45</v>
      </c>
      <c r="H23" s="253"/>
    </row>
    <row r="24" spans="1:8" s="1" customFormat="1" ht="9" customHeight="1">
      <c r="A24" s="53" t="s">
        <v>430</v>
      </c>
      <c r="B24" s="253">
        <v>36.6</v>
      </c>
      <c r="C24" s="253">
        <v>35.8</v>
      </c>
      <c r="D24" s="253">
        <v>36.9</v>
      </c>
      <c r="E24" s="219">
        <v>36.3</v>
      </c>
      <c r="F24" s="219">
        <v>36.2</v>
      </c>
      <c r="G24" s="253">
        <v>38.5</v>
      </c>
      <c r="H24" s="253"/>
    </row>
    <row r="25" spans="1:8" s="1" customFormat="1" ht="9" customHeight="1">
      <c r="A25" s="53" t="s">
        <v>431</v>
      </c>
      <c r="B25" s="253">
        <v>30.7</v>
      </c>
      <c r="C25" s="253">
        <v>30.3</v>
      </c>
      <c r="D25" s="253">
        <v>32</v>
      </c>
      <c r="E25" s="219">
        <v>29.4</v>
      </c>
      <c r="F25" s="219">
        <v>30.9</v>
      </c>
      <c r="G25" s="253">
        <v>31.6</v>
      </c>
      <c r="H25" s="253"/>
    </row>
    <row r="26" spans="1:8" s="1" customFormat="1" ht="9" customHeight="1">
      <c r="A26" s="53" t="s">
        <v>432</v>
      </c>
      <c r="B26" s="253">
        <v>23.7</v>
      </c>
      <c r="C26" s="253">
        <v>23.3</v>
      </c>
      <c r="D26" s="253">
        <v>25.3</v>
      </c>
      <c r="E26" s="219">
        <v>24</v>
      </c>
      <c r="F26" s="219">
        <v>24.5</v>
      </c>
      <c r="G26" s="253">
        <v>26.2</v>
      </c>
      <c r="H26" s="253"/>
    </row>
    <row r="27" spans="1:8" s="1" customFormat="1" ht="9" customHeight="1">
      <c r="A27" s="53" t="s">
        <v>433</v>
      </c>
      <c r="B27" s="253">
        <v>16.9</v>
      </c>
      <c r="C27" s="253">
        <v>16.4</v>
      </c>
      <c r="D27" s="253">
        <v>18.2</v>
      </c>
      <c r="E27" s="219">
        <v>16.7</v>
      </c>
      <c r="F27" s="219">
        <v>16.7</v>
      </c>
      <c r="G27" s="253">
        <v>18.5</v>
      </c>
      <c r="H27" s="253"/>
    </row>
    <row r="28" spans="1:8" s="1" customFormat="1" ht="9" customHeight="1">
      <c r="A28" s="53" t="s">
        <v>434</v>
      </c>
      <c r="B28" s="253">
        <v>11.3</v>
      </c>
      <c r="C28" s="253">
        <v>12.1</v>
      </c>
      <c r="D28" s="253">
        <v>13.7</v>
      </c>
      <c r="E28" s="219">
        <v>13.8</v>
      </c>
      <c r="F28" s="219">
        <v>15</v>
      </c>
      <c r="G28" s="253">
        <v>15.8</v>
      </c>
      <c r="H28" s="253"/>
    </row>
    <row r="29" spans="1:8" s="1" customFormat="1" ht="9" customHeight="1">
      <c r="A29" s="53" t="s">
        <v>435</v>
      </c>
      <c r="B29" s="253">
        <v>6.5</v>
      </c>
      <c r="C29" s="253">
        <v>7</v>
      </c>
      <c r="D29" s="253">
        <v>7.6</v>
      </c>
      <c r="E29" s="219">
        <v>7.8</v>
      </c>
      <c r="F29" s="219">
        <v>7.2</v>
      </c>
      <c r="G29" s="253">
        <v>8.9</v>
      </c>
      <c r="H29" s="253"/>
    </row>
    <row r="30" spans="1:8" s="1" customFormat="1" ht="9" customHeight="1">
      <c r="A30" s="53" t="s">
        <v>436</v>
      </c>
      <c r="B30" s="253">
        <v>1.8</v>
      </c>
      <c r="C30" s="253">
        <v>1.8</v>
      </c>
      <c r="D30" s="253">
        <v>2.2</v>
      </c>
      <c r="E30" s="219">
        <v>3.2</v>
      </c>
      <c r="F30" s="219">
        <v>2.8</v>
      </c>
      <c r="G30" s="253">
        <v>2.7</v>
      </c>
      <c r="H30" s="253"/>
    </row>
    <row r="31" spans="1:8" s="1" customFormat="1" ht="10.5" customHeight="1">
      <c r="A31" s="53"/>
      <c r="B31" s="253"/>
      <c r="C31" s="253"/>
      <c r="D31" s="253"/>
      <c r="E31" s="219"/>
      <c r="F31" s="219"/>
      <c r="G31" s="253"/>
      <c r="H31" s="253"/>
    </row>
    <row r="32" spans="1:8" s="1" customFormat="1" ht="10.5" customHeight="1">
      <c r="A32" s="404" t="s">
        <v>423</v>
      </c>
      <c r="B32" s="404"/>
      <c r="C32" s="404"/>
      <c r="D32" s="404"/>
      <c r="E32" s="404"/>
      <c r="F32" s="404"/>
      <c r="G32" s="404"/>
      <c r="H32" s="404"/>
    </row>
    <row r="33" spans="1:8" s="1" customFormat="1" ht="10.5" customHeight="1">
      <c r="A33" s="296"/>
      <c r="B33" s="252"/>
      <c r="C33" s="252"/>
      <c r="D33" s="252"/>
      <c r="E33" s="252"/>
      <c r="F33" s="252"/>
      <c r="G33" s="252"/>
      <c r="H33" s="252"/>
    </row>
    <row r="34" spans="1:8" s="1" customFormat="1" ht="9" customHeight="1">
      <c r="A34" s="53" t="s">
        <v>437</v>
      </c>
      <c r="B34" s="253">
        <v>31.9</v>
      </c>
      <c r="C34" s="253">
        <v>29.6</v>
      </c>
      <c r="D34" s="253">
        <v>32</v>
      </c>
      <c r="E34" s="219">
        <v>30.1</v>
      </c>
      <c r="F34" s="219">
        <v>32</v>
      </c>
      <c r="G34" s="253">
        <v>31.6</v>
      </c>
      <c r="H34" s="253"/>
    </row>
    <row r="35" spans="1:8" s="1" customFormat="1" ht="9" customHeight="1">
      <c r="A35" s="53" t="s">
        <v>411</v>
      </c>
      <c r="B35" s="253">
        <v>39</v>
      </c>
      <c r="C35" s="253">
        <v>37.1</v>
      </c>
      <c r="D35" s="253">
        <v>38.6</v>
      </c>
      <c r="E35" s="219">
        <v>37.6</v>
      </c>
      <c r="F35" s="219">
        <v>37.4</v>
      </c>
      <c r="G35" s="253">
        <v>38.5</v>
      </c>
      <c r="H35" s="253"/>
    </row>
    <row r="36" spans="1:8" s="1" customFormat="1" ht="9" customHeight="1">
      <c r="A36" s="53" t="s">
        <v>412</v>
      </c>
      <c r="B36" s="253">
        <v>33.1</v>
      </c>
      <c r="C36" s="253">
        <v>32.5</v>
      </c>
      <c r="D36" s="253">
        <v>33.6</v>
      </c>
      <c r="E36" s="219">
        <v>31.8</v>
      </c>
      <c r="F36" s="219">
        <v>31.8</v>
      </c>
      <c r="G36" s="253">
        <v>33</v>
      </c>
      <c r="H36" s="253"/>
    </row>
    <row r="37" spans="1:8" s="1" customFormat="1" ht="9" customHeight="1">
      <c r="A37" s="53" t="s">
        <v>438</v>
      </c>
      <c r="B37" s="253">
        <v>14.2</v>
      </c>
      <c r="C37" s="253">
        <v>13.9</v>
      </c>
      <c r="D37" s="253">
        <v>15</v>
      </c>
      <c r="E37" s="219">
        <v>14.1</v>
      </c>
      <c r="F37" s="219">
        <v>14.7</v>
      </c>
      <c r="G37" s="253">
        <v>15.2</v>
      </c>
      <c r="H37" s="253"/>
    </row>
    <row r="38" spans="1:8" s="1" customFormat="1" ht="10.5" customHeight="1">
      <c r="A38" s="53"/>
      <c r="B38" s="253"/>
      <c r="C38" s="253"/>
      <c r="D38" s="253"/>
      <c r="E38" s="219"/>
      <c r="F38" s="219"/>
      <c r="G38" s="253"/>
      <c r="H38" s="253"/>
    </row>
    <row r="39" spans="1:8" s="1" customFormat="1" ht="10.5" customHeight="1">
      <c r="A39" s="404" t="s">
        <v>424</v>
      </c>
      <c r="B39" s="404"/>
      <c r="C39" s="404"/>
      <c r="D39" s="404"/>
      <c r="E39" s="404"/>
      <c r="F39" s="404"/>
      <c r="G39" s="404"/>
      <c r="H39" s="404"/>
    </row>
    <row r="40" spans="1:8" s="1" customFormat="1" ht="10.5" customHeight="1">
      <c r="A40" s="296"/>
      <c r="B40" s="252"/>
      <c r="C40" s="252"/>
      <c r="D40" s="252"/>
      <c r="E40" s="252"/>
      <c r="F40" s="252"/>
      <c r="G40" s="252"/>
      <c r="H40" s="252"/>
    </row>
    <row r="41" spans="1:8" s="1" customFormat="1" ht="9" customHeight="1">
      <c r="A41" s="53" t="s">
        <v>439</v>
      </c>
      <c r="B41" s="253">
        <v>27.3</v>
      </c>
      <c r="C41" s="253">
        <v>26.4</v>
      </c>
      <c r="D41" s="253">
        <v>27.2</v>
      </c>
      <c r="E41" s="219">
        <v>26.4</v>
      </c>
      <c r="F41" s="219">
        <v>28</v>
      </c>
      <c r="G41" s="253">
        <v>28.6</v>
      </c>
      <c r="H41" s="253"/>
    </row>
    <row r="42" spans="1:8" s="1" customFormat="1" ht="9" customHeight="1">
      <c r="A42" s="53" t="s">
        <v>440</v>
      </c>
      <c r="B42" s="253">
        <v>28.7</v>
      </c>
      <c r="C42" s="253">
        <v>29.2</v>
      </c>
      <c r="D42" s="253">
        <v>30.9</v>
      </c>
      <c r="E42" s="219">
        <v>28.8</v>
      </c>
      <c r="F42" s="219">
        <v>30</v>
      </c>
      <c r="G42" s="253">
        <v>29.2</v>
      </c>
      <c r="H42" s="253"/>
    </row>
    <row r="43" spans="1:8" s="1" customFormat="1" ht="9" customHeight="1">
      <c r="A43" s="53" t="s">
        <v>441</v>
      </c>
      <c r="B43" s="253">
        <v>27.8</v>
      </c>
      <c r="C43" s="253">
        <v>26.7</v>
      </c>
      <c r="D43" s="253">
        <v>28.4</v>
      </c>
      <c r="E43" s="219">
        <v>27.1</v>
      </c>
      <c r="F43" s="219">
        <v>26.1</v>
      </c>
      <c r="G43" s="253">
        <v>27.9</v>
      </c>
      <c r="H43" s="253"/>
    </row>
    <row r="44" spans="1:8" s="1" customFormat="1" ht="9" customHeight="1">
      <c r="A44" s="53" t="s">
        <v>442</v>
      </c>
      <c r="B44" s="253">
        <v>25.1</v>
      </c>
      <c r="C44" s="253">
        <v>24.7</v>
      </c>
      <c r="D44" s="253">
        <v>26.4</v>
      </c>
      <c r="E44" s="219">
        <v>25.6</v>
      </c>
      <c r="F44" s="219">
        <v>24.5</v>
      </c>
      <c r="G44" s="253">
        <v>26.4</v>
      </c>
      <c r="H44" s="253"/>
    </row>
    <row r="45" spans="1:8" s="1" customFormat="1" ht="9" customHeight="1">
      <c r="A45" s="53" t="s">
        <v>443</v>
      </c>
      <c r="B45" s="253">
        <v>25.7</v>
      </c>
      <c r="C45" s="253">
        <v>24.9</v>
      </c>
      <c r="D45" s="253">
        <v>26.8</v>
      </c>
      <c r="E45" s="219">
        <v>23.9</v>
      </c>
      <c r="F45" s="219">
        <v>25.7</v>
      </c>
      <c r="G45" s="253">
        <v>26.3</v>
      </c>
      <c r="H45" s="253"/>
    </row>
    <row r="46" spans="1:8" s="1" customFormat="1" ht="9" customHeight="1">
      <c r="A46" s="53"/>
      <c r="B46" s="253"/>
      <c r="C46" s="219"/>
      <c r="D46" s="253"/>
      <c r="E46" s="253"/>
      <c r="F46" s="253"/>
      <c r="G46" s="253"/>
      <c r="H46" s="254"/>
    </row>
    <row r="47" spans="1:8" s="1" customFormat="1" ht="9" customHeight="1">
      <c r="A47" s="281" t="s">
        <v>0</v>
      </c>
      <c r="B47" s="299">
        <v>26.9</v>
      </c>
      <c r="C47" s="299">
        <v>26.4</v>
      </c>
      <c r="D47" s="299">
        <v>27.9</v>
      </c>
      <c r="E47" s="300">
        <v>26.5</v>
      </c>
      <c r="F47" s="300">
        <v>26.9</v>
      </c>
      <c r="G47" s="299">
        <v>27.8</v>
      </c>
      <c r="H47" s="299"/>
    </row>
    <row r="48" spans="1:7" ht="9" customHeight="1">
      <c r="A48" s="297"/>
      <c r="B48" s="138"/>
      <c r="C48" s="138"/>
      <c r="D48" s="138"/>
      <c r="E48" s="138"/>
      <c r="F48" s="138"/>
      <c r="G48" s="138"/>
    </row>
    <row r="49" ht="9" customHeight="1"/>
    <row r="50" ht="11.25" customHeight="1">
      <c r="A50" s="52" t="s">
        <v>463</v>
      </c>
    </row>
    <row r="64" spans="1:8" ht="12.75">
      <c r="A64" s="404"/>
      <c r="B64" s="404"/>
      <c r="C64" s="404"/>
      <c r="D64" s="404"/>
      <c r="E64" s="404"/>
      <c r="F64" s="404"/>
      <c r="G64" s="404"/>
      <c r="H64" s="404"/>
    </row>
  </sheetData>
  <mergeCells count="5">
    <mergeCell ref="A64:H64"/>
    <mergeCell ref="A39:H39"/>
    <mergeCell ref="A12:H12"/>
    <mergeCell ref="A17:H17"/>
    <mergeCell ref="A32:H32"/>
  </mergeCells>
  <printOptions horizontalCentered="1"/>
  <pageMargins left="1.1811023622047245" right="1.1811023622047245" top="1.1811023622047245" bottom="1.5748031496062993" header="0" footer="1.2598425196850394"/>
  <pageSetup firstPageNumber="194" useFirstPageNumber="1" horizontalDpi="300" verticalDpi="300" orientation="portrait" paperSize="9" r:id="rId2"/>
  <headerFooter alignWithMargins="0">
    <oddFooter>&amp;C&amp;9 194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15"/>
  <sheetViews>
    <sheetView workbookViewId="0" topLeftCell="A1">
      <selection activeCell="L25" sqref="L25"/>
    </sheetView>
  </sheetViews>
  <sheetFormatPr defaultColWidth="9.140625" defaultRowHeight="12.75"/>
  <cols>
    <col min="1" max="1" width="15.00390625" style="4" customWidth="1"/>
    <col min="2" max="2" width="6.7109375" style="38" customWidth="1"/>
    <col min="3" max="3" width="18.28125" style="4" customWidth="1"/>
    <col min="4" max="5" width="5.140625" style="4" customWidth="1"/>
    <col min="6" max="6" width="5.140625" style="5" customWidth="1"/>
    <col min="7" max="7" width="1.1484375" style="4" customWidth="1"/>
    <col min="8" max="9" width="7.28125" style="4" customWidth="1"/>
    <col min="10" max="69" width="6.421875" style="68" customWidth="1"/>
    <col min="70" max="16384" width="6.421875" style="4" customWidth="1"/>
  </cols>
  <sheetData>
    <row r="1" spans="1:3" ht="7.5" customHeight="1">
      <c r="A1" s="38"/>
      <c r="C1" s="38"/>
    </row>
    <row r="2" spans="1:9" ht="12" customHeight="1">
      <c r="A2" s="366" t="s">
        <v>474</v>
      </c>
      <c r="B2" s="366"/>
      <c r="C2" s="366"/>
      <c r="D2" s="366"/>
      <c r="E2" s="366"/>
      <c r="F2" s="366"/>
      <c r="G2" s="366"/>
      <c r="H2" s="366"/>
      <c r="I2" s="366"/>
    </row>
    <row r="3" spans="1:9" ht="12" customHeight="1">
      <c r="A3" s="331"/>
      <c r="B3" s="331"/>
      <c r="C3" s="331"/>
      <c r="D3" s="331"/>
      <c r="E3" s="331"/>
      <c r="F3" s="331"/>
      <c r="G3" s="331"/>
      <c r="H3" s="331"/>
      <c r="I3" s="331"/>
    </row>
    <row r="4" spans="1:9" ht="7.5" customHeight="1">
      <c r="A4" s="79"/>
      <c r="B4" s="80"/>
      <c r="C4" s="80"/>
      <c r="D4" s="68"/>
      <c r="E4" s="68"/>
      <c r="F4" s="82"/>
      <c r="G4" s="68"/>
      <c r="H4" s="68"/>
      <c r="I4" s="68"/>
    </row>
    <row r="5" spans="1:69" s="7" customFormat="1" ht="12" customHeight="1">
      <c r="A5" s="367" t="s">
        <v>41</v>
      </c>
      <c r="B5" s="369" t="s">
        <v>511</v>
      </c>
      <c r="C5" s="369" t="s">
        <v>512</v>
      </c>
      <c r="D5" s="365" t="s">
        <v>89</v>
      </c>
      <c r="E5" s="365"/>
      <c r="F5" s="365"/>
      <c r="G5" s="83"/>
      <c r="H5" s="365" t="s">
        <v>88</v>
      </c>
      <c r="I5" s="365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</row>
    <row r="6" spans="1:69" s="7" customFormat="1" ht="11.25" customHeight="1">
      <c r="A6" s="368"/>
      <c r="B6" s="370"/>
      <c r="C6" s="370"/>
      <c r="D6" s="78">
        <v>1995</v>
      </c>
      <c r="E6" s="78">
        <v>1997</v>
      </c>
      <c r="F6" s="78">
        <v>1999</v>
      </c>
      <c r="G6" s="78"/>
      <c r="H6" s="78" t="s">
        <v>112</v>
      </c>
      <c r="I6" s="78" t="s">
        <v>558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" ht="7.5" customHeight="1">
      <c r="A7" s="66"/>
      <c r="C7" s="66"/>
      <c r="D7" s="8"/>
      <c r="E7" s="8"/>
      <c r="F7" s="9"/>
    </row>
    <row r="8" spans="1:9" ht="9" customHeight="1">
      <c r="A8" s="310" t="s">
        <v>468</v>
      </c>
      <c r="B8" s="311" t="s">
        <v>95</v>
      </c>
      <c r="C8" s="312" t="s">
        <v>108</v>
      </c>
      <c r="D8" s="35">
        <v>94</v>
      </c>
      <c r="E8" s="35">
        <v>88</v>
      </c>
      <c r="F8" s="35">
        <v>83</v>
      </c>
      <c r="G8" s="9"/>
      <c r="H8" s="11">
        <v>-6.382978723404255</v>
      </c>
      <c r="I8" s="11">
        <v>-5.681818181818182</v>
      </c>
    </row>
    <row r="9" spans="1:9" ht="9" customHeight="1">
      <c r="A9" s="310" t="s">
        <v>467</v>
      </c>
      <c r="B9" s="311" t="s">
        <v>96</v>
      </c>
      <c r="C9" s="312" t="s">
        <v>475</v>
      </c>
      <c r="D9" s="35">
        <v>4459</v>
      </c>
      <c r="E9" s="35">
        <v>3023</v>
      </c>
      <c r="F9" s="35">
        <v>2859</v>
      </c>
      <c r="G9" s="9"/>
      <c r="H9" s="11">
        <v>-32.204530163713834</v>
      </c>
      <c r="I9" s="11">
        <v>-5.425074429374793</v>
      </c>
    </row>
    <row r="10" spans="1:9" ht="18" customHeight="1">
      <c r="A10" s="313" t="s">
        <v>469</v>
      </c>
      <c r="B10" s="313" t="s">
        <v>97</v>
      </c>
      <c r="C10" s="314" t="s">
        <v>109</v>
      </c>
      <c r="D10" s="35">
        <v>399</v>
      </c>
      <c r="E10" s="35">
        <v>335</v>
      </c>
      <c r="F10" s="35">
        <v>491</v>
      </c>
      <c r="G10" s="9"/>
      <c r="H10" s="11">
        <v>-16.040100250626566</v>
      </c>
      <c r="I10" s="11">
        <v>46.56716417910447</v>
      </c>
    </row>
    <row r="11" spans="1:9" ht="9" customHeight="1">
      <c r="A11" s="311" t="s">
        <v>6</v>
      </c>
      <c r="B11" s="311" t="s">
        <v>98</v>
      </c>
      <c r="C11" s="314" t="s">
        <v>476</v>
      </c>
      <c r="D11" s="35">
        <v>432</v>
      </c>
      <c r="E11" s="35">
        <v>464</v>
      </c>
      <c r="F11" s="36">
        <v>460</v>
      </c>
      <c r="G11" s="9"/>
      <c r="H11" s="11">
        <v>7.4074074074074066</v>
      </c>
      <c r="I11" s="11">
        <v>-0.8620689655172413</v>
      </c>
    </row>
    <row r="12" spans="1:9" ht="9.75" customHeight="1">
      <c r="A12" s="311" t="s">
        <v>7</v>
      </c>
      <c r="B12" s="311" t="s">
        <v>99</v>
      </c>
      <c r="C12" s="314" t="s">
        <v>477</v>
      </c>
      <c r="D12" s="35">
        <v>3662</v>
      </c>
      <c r="E12" s="35">
        <v>3242</v>
      </c>
      <c r="F12" s="35">
        <v>3106</v>
      </c>
      <c r="G12" s="9"/>
      <c r="H12" s="11">
        <v>-11.469142545057345</v>
      </c>
      <c r="I12" s="11">
        <v>-4.194941394201111</v>
      </c>
    </row>
    <row r="13" spans="1:9" ht="9" customHeight="1">
      <c r="A13" s="311" t="s">
        <v>8</v>
      </c>
      <c r="B13" s="311" t="s">
        <v>100</v>
      </c>
      <c r="C13" s="314" t="s">
        <v>478</v>
      </c>
      <c r="D13" s="35">
        <v>6782</v>
      </c>
      <c r="E13" s="35">
        <v>6538</v>
      </c>
      <c r="F13" s="35">
        <v>6522</v>
      </c>
      <c r="G13" s="9"/>
      <c r="H13" s="11">
        <v>-3.5977587732232377</v>
      </c>
      <c r="I13" s="11">
        <v>-0.2447231569287244</v>
      </c>
    </row>
    <row r="14" spans="1:9" ht="9.75" customHeight="1">
      <c r="A14" s="311" t="s">
        <v>9</v>
      </c>
      <c r="B14" s="311" t="s">
        <v>101</v>
      </c>
      <c r="C14" s="314" t="s">
        <v>479</v>
      </c>
      <c r="D14" s="35">
        <v>12666</v>
      </c>
      <c r="E14" s="35">
        <v>13268</v>
      </c>
      <c r="F14" s="35">
        <v>13568</v>
      </c>
      <c r="G14" s="9"/>
      <c r="H14" s="11">
        <v>4.752881730617401</v>
      </c>
      <c r="I14" s="11">
        <v>2.2610792885137174</v>
      </c>
    </row>
    <row r="15" spans="1:9" ht="9" customHeight="1">
      <c r="A15" s="311" t="s">
        <v>10</v>
      </c>
      <c r="B15" s="311" t="s">
        <v>102</v>
      </c>
      <c r="C15" s="314" t="s">
        <v>480</v>
      </c>
      <c r="D15" s="35">
        <v>296</v>
      </c>
      <c r="E15" s="35">
        <v>324</v>
      </c>
      <c r="F15" s="36">
        <v>337</v>
      </c>
      <c r="G15" s="9"/>
      <c r="H15" s="11">
        <v>9.45945945945946</v>
      </c>
      <c r="I15" s="11">
        <v>4.012345679012346</v>
      </c>
    </row>
    <row r="16" spans="1:9" ht="9" customHeight="1">
      <c r="A16" s="311" t="s">
        <v>11</v>
      </c>
      <c r="B16" s="311" t="s">
        <v>103</v>
      </c>
      <c r="C16" s="314" t="s">
        <v>481</v>
      </c>
      <c r="D16" s="35">
        <v>282</v>
      </c>
      <c r="E16" s="35">
        <v>278</v>
      </c>
      <c r="F16" s="36">
        <v>284</v>
      </c>
      <c r="G16" s="9"/>
      <c r="H16" s="11">
        <v>-1.4184397163120568</v>
      </c>
      <c r="I16" s="11">
        <v>2.158273381294964</v>
      </c>
    </row>
    <row r="17" spans="1:9" ht="9" customHeight="1">
      <c r="A17" s="311" t="s">
        <v>12</v>
      </c>
      <c r="B17" s="311" t="s">
        <v>104</v>
      </c>
      <c r="C17" s="314" t="s">
        <v>504</v>
      </c>
      <c r="D17" s="35">
        <v>4734</v>
      </c>
      <c r="E17" s="35">
        <v>4678</v>
      </c>
      <c r="F17" s="36">
        <v>4455</v>
      </c>
      <c r="G17" s="9"/>
      <c r="H17" s="11">
        <v>-1.1829319814110688</v>
      </c>
      <c r="I17" s="11">
        <v>-4.766994442069261</v>
      </c>
    </row>
    <row r="18" spans="1:9" ht="18" customHeight="1">
      <c r="A18" s="313" t="s">
        <v>470</v>
      </c>
      <c r="B18" s="313" t="s">
        <v>58</v>
      </c>
      <c r="C18" s="314" t="s">
        <v>505</v>
      </c>
      <c r="D18" s="35" t="s">
        <v>1</v>
      </c>
      <c r="E18" s="35" t="s">
        <v>1</v>
      </c>
      <c r="F18" s="35" t="s">
        <v>1</v>
      </c>
      <c r="G18" s="35"/>
      <c r="H18" s="35" t="s">
        <v>1</v>
      </c>
      <c r="I18" s="11" t="s">
        <v>1</v>
      </c>
    </row>
    <row r="19" spans="1:9" ht="9.75" customHeight="1">
      <c r="A19" s="311" t="s">
        <v>14</v>
      </c>
      <c r="B19" s="311" t="s">
        <v>105</v>
      </c>
      <c r="C19" s="314" t="s">
        <v>506</v>
      </c>
      <c r="D19" s="35">
        <v>1085</v>
      </c>
      <c r="E19" s="35">
        <v>923</v>
      </c>
      <c r="F19" s="36">
        <v>892</v>
      </c>
      <c r="G19" s="9"/>
      <c r="H19" s="11">
        <v>-14.930875576036867</v>
      </c>
      <c r="I19" s="11">
        <v>-3.358613217768147</v>
      </c>
    </row>
    <row r="20" spans="1:9" ht="9.75" customHeight="1">
      <c r="A20" s="311" t="s">
        <v>15</v>
      </c>
      <c r="B20" s="311" t="s">
        <v>106</v>
      </c>
      <c r="C20" s="314" t="s">
        <v>482</v>
      </c>
      <c r="D20" s="35">
        <v>186</v>
      </c>
      <c r="E20" s="35">
        <v>215</v>
      </c>
      <c r="F20" s="35">
        <v>211</v>
      </c>
      <c r="G20" s="9"/>
      <c r="H20" s="11">
        <v>15.591397849462366</v>
      </c>
      <c r="I20" s="11">
        <v>-1.8604651162790697</v>
      </c>
    </row>
    <row r="21" spans="1:9" ht="9" customHeight="1">
      <c r="A21" s="311" t="s">
        <v>465</v>
      </c>
      <c r="B21" s="311" t="s">
        <v>107</v>
      </c>
      <c r="C21" s="314" t="s">
        <v>483</v>
      </c>
      <c r="D21" s="35">
        <v>600</v>
      </c>
      <c r="E21" s="35">
        <v>546</v>
      </c>
      <c r="F21" s="35">
        <v>685</v>
      </c>
      <c r="G21" s="9"/>
      <c r="H21" s="11">
        <v>-9</v>
      </c>
      <c r="I21" s="11">
        <v>25.457875457875456</v>
      </c>
    </row>
    <row r="22" spans="1:9" ht="9" customHeight="1">
      <c r="A22" s="311" t="s">
        <v>17</v>
      </c>
      <c r="B22" s="311" t="s">
        <v>62</v>
      </c>
      <c r="C22" s="314" t="s">
        <v>484</v>
      </c>
      <c r="D22" s="35">
        <v>174</v>
      </c>
      <c r="E22" s="35">
        <v>171</v>
      </c>
      <c r="F22" s="35">
        <v>183</v>
      </c>
      <c r="G22" s="9"/>
      <c r="H22" s="11">
        <v>-1.7241379310344827</v>
      </c>
      <c r="I22" s="11">
        <v>7.017543859649122</v>
      </c>
    </row>
    <row r="23" spans="1:9" ht="18" customHeight="1">
      <c r="A23" s="315" t="s">
        <v>18</v>
      </c>
      <c r="B23" s="313" t="s">
        <v>63</v>
      </c>
      <c r="C23" s="313" t="s">
        <v>485</v>
      </c>
      <c r="D23" s="35">
        <v>1013</v>
      </c>
      <c r="E23" s="35">
        <v>1114</v>
      </c>
      <c r="F23" s="35">
        <v>1100</v>
      </c>
      <c r="G23" s="9"/>
      <c r="H23" s="11">
        <v>9.970384995064165</v>
      </c>
      <c r="I23" s="11">
        <v>-1.2567324955116697</v>
      </c>
    </row>
    <row r="24" spans="1:9" ht="9" customHeight="1">
      <c r="A24" s="311" t="s">
        <v>466</v>
      </c>
      <c r="B24" s="311" t="s">
        <v>64</v>
      </c>
      <c r="C24" s="314" t="s">
        <v>486</v>
      </c>
      <c r="D24" s="408">
        <v>2895</v>
      </c>
      <c r="E24" s="408">
        <v>2991</v>
      </c>
      <c r="F24" s="408">
        <v>2922</v>
      </c>
      <c r="G24" s="409"/>
      <c r="H24" s="410">
        <v>3.316062176165803</v>
      </c>
      <c r="I24" s="410">
        <v>-2.3069207622868606</v>
      </c>
    </row>
    <row r="25" spans="1:9" ht="18" customHeight="1">
      <c r="A25" s="313" t="s">
        <v>471</v>
      </c>
      <c r="B25" s="313" t="s">
        <v>65</v>
      </c>
      <c r="C25" s="314" t="s">
        <v>507</v>
      </c>
      <c r="D25" s="35" t="s">
        <v>1</v>
      </c>
      <c r="E25" s="35" t="s">
        <v>1</v>
      </c>
      <c r="F25" s="35" t="s">
        <v>1</v>
      </c>
      <c r="G25" s="35"/>
      <c r="H25" s="35" t="s">
        <v>1</v>
      </c>
      <c r="I25" s="11" t="s">
        <v>1</v>
      </c>
    </row>
    <row r="26" spans="1:9" ht="18" customHeight="1">
      <c r="A26" s="316" t="s">
        <v>21</v>
      </c>
      <c r="B26" s="316" t="s">
        <v>66</v>
      </c>
      <c r="C26" s="314" t="s">
        <v>508</v>
      </c>
      <c r="D26" s="35">
        <v>1332</v>
      </c>
      <c r="E26" s="35">
        <v>1341</v>
      </c>
      <c r="F26" s="35">
        <v>1410</v>
      </c>
      <c r="G26" s="9"/>
      <c r="H26" s="11">
        <v>0.6756756756756757</v>
      </c>
      <c r="I26" s="11">
        <v>5.1454138702460845</v>
      </c>
    </row>
    <row r="27" spans="1:9" ht="9.75" customHeight="1">
      <c r="A27" s="311" t="s">
        <v>22</v>
      </c>
      <c r="B27" s="311" t="s">
        <v>67</v>
      </c>
      <c r="C27" s="314" t="s">
        <v>487</v>
      </c>
      <c r="D27" s="35">
        <v>161</v>
      </c>
      <c r="E27" s="35">
        <v>160</v>
      </c>
      <c r="F27" s="35">
        <v>177</v>
      </c>
      <c r="G27" s="9"/>
      <c r="H27" s="11">
        <v>-0.6211180124223602</v>
      </c>
      <c r="I27" s="11">
        <v>10.625</v>
      </c>
    </row>
    <row r="28" spans="1:9" ht="9.75" customHeight="1">
      <c r="A28" s="311" t="s">
        <v>23</v>
      </c>
      <c r="B28" s="311" t="s">
        <v>68</v>
      </c>
      <c r="C28" s="314" t="s">
        <v>488</v>
      </c>
      <c r="D28" s="35">
        <v>1162</v>
      </c>
      <c r="E28" s="35">
        <v>1209</v>
      </c>
      <c r="F28" s="35">
        <v>1169</v>
      </c>
      <c r="G28" s="9"/>
      <c r="H28" s="11">
        <v>4.044750430292599</v>
      </c>
      <c r="I28" s="11">
        <v>-3.3085194375516958</v>
      </c>
    </row>
    <row r="29" spans="1:9" ht="9" customHeight="1">
      <c r="A29" s="311" t="s">
        <v>24</v>
      </c>
      <c r="B29" s="311" t="s">
        <v>69</v>
      </c>
      <c r="C29" s="314" t="s">
        <v>489</v>
      </c>
      <c r="D29" s="35">
        <v>3881</v>
      </c>
      <c r="E29" s="35">
        <v>3808</v>
      </c>
      <c r="F29" s="35">
        <v>3849</v>
      </c>
      <c r="G29" s="9"/>
      <c r="H29" s="11">
        <v>-1.8809585158464315</v>
      </c>
      <c r="I29" s="11">
        <v>1.0766806722689075</v>
      </c>
    </row>
    <row r="30" spans="1:9" ht="9.75" customHeight="1">
      <c r="A30" s="311" t="s">
        <v>25</v>
      </c>
      <c r="B30" s="311" t="s">
        <v>70</v>
      </c>
      <c r="C30" s="314" t="s">
        <v>490</v>
      </c>
      <c r="D30" s="35">
        <v>4414</v>
      </c>
      <c r="E30" s="35">
        <v>4775</v>
      </c>
      <c r="F30" s="35">
        <v>4886</v>
      </c>
      <c r="G30" s="9"/>
      <c r="H30" s="11">
        <v>8.178522881739918</v>
      </c>
      <c r="I30" s="11">
        <v>2.324607329842932</v>
      </c>
    </row>
    <row r="31" spans="1:9" ht="9" customHeight="1">
      <c r="A31" s="311" t="s">
        <v>26</v>
      </c>
      <c r="B31" s="311" t="s">
        <v>71</v>
      </c>
      <c r="C31" s="314" t="s">
        <v>491</v>
      </c>
      <c r="D31" s="35">
        <v>94</v>
      </c>
      <c r="E31" s="35">
        <v>109</v>
      </c>
      <c r="F31" s="35">
        <v>171</v>
      </c>
      <c r="G31" s="9"/>
      <c r="H31" s="11">
        <v>15.957446808510639</v>
      </c>
      <c r="I31" s="11">
        <v>56.88073394495413</v>
      </c>
    </row>
    <row r="32" spans="1:9" ht="18" customHeight="1">
      <c r="A32" s="314" t="s">
        <v>110</v>
      </c>
      <c r="B32" s="313" t="s">
        <v>72</v>
      </c>
      <c r="C32" s="313" t="s">
        <v>509</v>
      </c>
      <c r="D32" s="35">
        <v>4545</v>
      </c>
      <c r="E32" s="35">
        <v>4048</v>
      </c>
      <c r="F32" s="35">
        <v>3949</v>
      </c>
      <c r="G32" s="9"/>
      <c r="H32" s="11">
        <v>-10.935093509350935</v>
      </c>
      <c r="I32" s="11">
        <v>-2.4456521739130435</v>
      </c>
    </row>
    <row r="33" spans="1:9" ht="9.75" customHeight="1">
      <c r="A33" s="311" t="s">
        <v>27</v>
      </c>
      <c r="B33" s="311" t="s">
        <v>73</v>
      </c>
      <c r="C33" s="314" t="s">
        <v>510</v>
      </c>
      <c r="D33" s="35">
        <v>378</v>
      </c>
      <c r="E33" s="35">
        <v>421</v>
      </c>
      <c r="F33" s="35">
        <v>427</v>
      </c>
      <c r="G33" s="9"/>
      <c r="H33" s="11">
        <v>11.375661375661375</v>
      </c>
      <c r="I33" s="11">
        <v>1.4251781472684086</v>
      </c>
    </row>
    <row r="34" spans="1:9" ht="9.75" customHeight="1">
      <c r="A34" s="311" t="s">
        <v>28</v>
      </c>
      <c r="B34" s="311" t="s">
        <v>74</v>
      </c>
      <c r="C34" s="314" t="s">
        <v>492</v>
      </c>
      <c r="D34" s="35">
        <v>425</v>
      </c>
      <c r="E34" s="35">
        <v>442</v>
      </c>
      <c r="F34" s="35">
        <v>454</v>
      </c>
      <c r="G34" s="9"/>
      <c r="H34" s="11">
        <v>4</v>
      </c>
      <c r="I34" s="11">
        <v>2.7149321266968327</v>
      </c>
    </row>
    <row r="35" spans="1:9" ht="9.75" customHeight="1">
      <c r="A35" s="311" t="s">
        <v>29</v>
      </c>
      <c r="B35" s="311" t="s">
        <v>75</v>
      </c>
      <c r="C35" s="314" t="s">
        <v>493</v>
      </c>
      <c r="D35" s="35">
        <v>280</v>
      </c>
      <c r="E35" s="35">
        <v>281</v>
      </c>
      <c r="F35" s="35">
        <v>285</v>
      </c>
      <c r="G35" s="9"/>
      <c r="H35" s="11">
        <v>0.35714285714285715</v>
      </c>
      <c r="I35" s="11">
        <v>1.4234875444839856</v>
      </c>
    </row>
    <row r="36" spans="1:9" ht="9.75" customHeight="1">
      <c r="A36" s="311" t="s">
        <v>30</v>
      </c>
      <c r="B36" s="311" t="s">
        <v>76</v>
      </c>
      <c r="C36" s="314" t="s">
        <v>494</v>
      </c>
      <c r="D36" s="35">
        <v>134</v>
      </c>
      <c r="E36" s="35">
        <v>110</v>
      </c>
      <c r="F36" s="35">
        <v>96</v>
      </c>
      <c r="G36" s="9"/>
      <c r="H36" s="11">
        <v>-17.91044776119403</v>
      </c>
      <c r="I36" s="11">
        <v>-12.727272727272727</v>
      </c>
    </row>
    <row r="37" spans="1:9" ht="9.75" customHeight="1">
      <c r="A37" s="311" t="s">
        <v>31</v>
      </c>
      <c r="B37" s="311" t="s">
        <v>77</v>
      </c>
      <c r="C37" s="314" t="s">
        <v>495</v>
      </c>
      <c r="D37" s="35">
        <v>426</v>
      </c>
      <c r="E37" s="35">
        <v>349</v>
      </c>
      <c r="F37" s="35">
        <v>422</v>
      </c>
      <c r="G37" s="9"/>
      <c r="H37" s="11">
        <v>-18.07511737089202</v>
      </c>
      <c r="I37" s="11">
        <v>20.916905444126073</v>
      </c>
    </row>
    <row r="38" spans="1:9" ht="16.5">
      <c r="A38" s="316" t="s">
        <v>32</v>
      </c>
      <c r="B38" s="316" t="s">
        <v>78</v>
      </c>
      <c r="C38" s="314" t="s">
        <v>496</v>
      </c>
      <c r="D38" s="35">
        <v>1125</v>
      </c>
      <c r="E38" s="35">
        <v>1138</v>
      </c>
      <c r="F38" s="35">
        <v>1290</v>
      </c>
      <c r="G38" s="9"/>
      <c r="H38" s="37">
        <v>1.1555555555555554</v>
      </c>
      <c r="I38" s="11">
        <v>13.356766256590511</v>
      </c>
    </row>
    <row r="39" spans="1:12" ht="9" customHeight="1">
      <c r="A39" s="311" t="s">
        <v>33</v>
      </c>
      <c r="B39" s="311" t="s">
        <v>79</v>
      </c>
      <c r="C39" s="314" t="s">
        <v>497</v>
      </c>
      <c r="D39" s="35">
        <v>330</v>
      </c>
      <c r="E39" s="35">
        <v>333</v>
      </c>
      <c r="F39" s="35">
        <v>350</v>
      </c>
      <c r="G39" s="9"/>
      <c r="H39" s="11">
        <v>0.9090909090909091</v>
      </c>
      <c r="I39" s="11">
        <v>5.105105105105105</v>
      </c>
      <c r="L39" s="41"/>
    </row>
    <row r="40" spans="1:9" ht="9" customHeight="1">
      <c r="A40" s="311" t="s">
        <v>34</v>
      </c>
      <c r="B40" s="311" t="s">
        <v>80</v>
      </c>
      <c r="C40" s="314" t="s">
        <v>498</v>
      </c>
      <c r="D40" s="35">
        <v>2292</v>
      </c>
      <c r="E40" s="35">
        <v>2099</v>
      </c>
      <c r="F40" s="35">
        <v>1878</v>
      </c>
      <c r="G40" s="9"/>
      <c r="H40" s="11">
        <v>-8.420593368237347</v>
      </c>
      <c r="I40" s="11">
        <v>-10.528823249166269</v>
      </c>
    </row>
    <row r="41" spans="1:9" ht="9.75" customHeight="1">
      <c r="A41" s="311" t="s">
        <v>35</v>
      </c>
      <c r="B41" s="311" t="s">
        <v>81</v>
      </c>
      <c r="C41" s="314" t="s">
        <v>499</v>
      </c>
      <c r="D41" s="35">
        <v>3791</v>
      </c>
      <c r="E41" s="35">
        <v>3659</v>
      </c>
      <c r="F41" s="35">
        <v>3401</v>
      </c>
      <c r="G41" s="9"/>
      <c r="H41" s="11">
        <v>-3.481930888947507</v>
      </c>
      <c r="I41" s="11">
        <v>-7.051106859797759</v>
      </c>
    </row>
    <row r="42" spans="1:9" ht="9.75" customHeight="1">
      <c r="A42" s="311" t="s">
        <v>36</v>
      </c>
      <c r="B42" s="311" t="s">
        <v>82</v>
      </c>
      <c r="C42" s="314" t="s">
        <v>500</v>
      </c>
      <c r="D42" s="35">
        <v>967</v>
      </c>
      <c r="E42" s="35">
        <v>910</v>
      </c>
      <c r="F42" s="35">
        <v>845</v>
      </c>
      <c r="G42" s="9"/>
      <c r="H42" s="11">
        <v>-5.894519131334023</v>
      </c>
      <c r="I42" s="11">
        <v>-7.142857142857142</v>
      </c>
    </row>
    <row r="43" spans="1:9" ht="9" customHeight="1">
      <c r="A43" s="311" t="s">
        <v>37</v>
      </c>
      <c r="B43" s="311" t="s">
        <v>83</v>
      </c>
      <c r="C43" s="314" t="s">
        <v>501</v>
      </c>
      <c r="D43" s="35">
        <v>535</v>
      </c>
      <c r="E43" s="35">
        <v>555</v>
      </c>
      <c r="F43" s="35">
        <v>543</v>
      </c>
      <c r="G43" s="9"/>
      <c r="H43" s="11">
        <v>3.7383177570093453</v>
      </c>
      <c r="I43" s="11">
        <v>-2.1621621621621623</v>
      </c>
    </row>
    <row r="44" spans="1:9" ht="18" customHeight="1">
      <c r="A44" s="316" t="s">
        <v>38</v>
      </c>
      <c r="B44" s="316" t="s">
        <v>84</v>
      </c>
      <c r="C44" s="314" t="s">
        <v>111</v>
      </c>
      <c r="D44" s="35">
        <v>273</v>
      </c>
      <c r="E44" s="35">
        <v>277</v>
      </c>
      <c r="F44" s="35">
        <v>309</v>
      </c>
      <c r="G44" s="9"/>
      <c r="H44" s="11">
        <v>1.465201465201465</v>
      </c>
      <c r="I44" s="11">
        <v>11.552346570397113</v>
      </c>
    </row>
    <row r="45" spans="1:9" ht="9.75" customHeight="1">
      <c r="A45" s="311" t="s">
        <v>39</v>
      </c>
      <c r="B45" s="311" t="s">
        <v>86</v>
      </c>
      <c r="C45" s="314" t="s">
        <v>502</v>
      </c>
      <c r="D45" s="35">
        <v>535</v>
      </c>
      <c r="E45" s="35">
        <v>532</v>
      </c>
      <c r="F45" s="35">
        <v>508</v>
      </c>
      <c r="G45" s="9"/>
      <c r="H45" s="11">
        <v>-0.5607476635514018</v>
      </c>
      <c r="I45" s="11">
        <v>-4.511278195488721</v>
      </c>
    </row>
    <row r="46" spans="1:9" ht="9.75" customHeight="1">
      <c r="A46" s="311" t="s">
        <v>40</v>
      </c>
      <c r="B46" s="311" t="s">
        <v>87</v>
      </c>
      <c r="C46" s="314" t="s">
        <v>503</v>
      </c>
      <c r="D46" s="35">
        <v>514</v>
      </c>
      <c r="E46" s="35">
        <v>546</v>
      </c>
      <c r="F46" s="35">
        <v>560</v>
      </c>
      <c r="G46" s="9"/>
      <c r="H46" s="11">
        <v>6.22568093385214</v>
      </c>
      <c r="I46" s="11">
        <v>2.564102564102564</v>
      </c>
    </row>
    <row r="47" spans="1:9" ht="9.75" customHeight="1">
      <c r="A47" s="329" t="s">
        <v>0</v>
      </c>
      <c r="B47" s="329"/>
      <c r="C47" s="330"/>
      <c r="D47" s="319">
        <v>67353</v>
      </c>
      <c r="E47" s="319">
        <v>65300</v>
      </c>
      <c r="F47" s="319">
        <v>65137</v>
      </c>
      <c r="G47" s="320"/>
      <c r="H47" s="131">
        <v>-3.048119608629163</v>
      </c>
      <c r="I47" s="131">
        <v>-0.24961715160796322</v>
      </c>
    </row>
    <row r="48" spans="1:9" ht="7.5" customHeight="1">
      <c r="A48" s="317"/>
      <c r="B48" s="317"/>
      <c r="C48" s="318"/>
      <c r="D48" s="2"/>
      <c r="E48" s="2"/>
      <c r="F48" s="2"/>
      <c r="G48" s="34"/>
      <c r="H48" s="62"/>
      <c r="I48" s="62"/>
    </row>
    <row r="49" spans="2:69" s="10" customFormat="1" ht="7.5" customHeight="1">
      <c r="B49" s="65"/>
      <c r="C49" s="308"/>
      <c r="F49" s="5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</row>
    <row r="50" spans="1:69" s="10" customFormat="1" ht="9.75" customHeight="1">
      <c r="A50" s="41"/>
      <c r="B50" s="65"/>
      <c r="F50" s="5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</row>
    <row r="51" ht="9" customHeight="1">
      <c r="A51" s="41"/>
    </row>
    <row r="52" ht="9" customHeight="1">
      <c r="A52" s="41"/>
    </row>
    <row r="53" ht="9" customHeight="1">
      <c r="A53" s="41"/>
    </row>
    <row r="54" spans="1:9" ht="9" customHeight="1">
      <c r="A54" s="41"/>
      <c r="B54" s="41"/>
      <c r="C54" s="41"/>
      <c r="D54" s="41"/>
      <c r="E54" s="41"/>
      <c r="F54" s="41"/>
      <c r="G54" s="41"/>
      <c r="H54" s="41"/>
      <c r="I54" s="41"/>
    </row>
    <row r="55" ht="9" customHeight="1">
      <c r="A55" s="41"/>
    </row>
    <row r="56" ht="9" customHeight="1">
      <c r="A56" s="41"/>
    </row>
    <row r="62" spans="2:7" s="71" customFormat="1" ht="8.25">
      <c r="B62" s="72"/>
      <c r="E62" s="74"/>
      <c r="G62" s="74"/>
    </row>
    <row r="63" spans="2:7" s="71" customFormat="1" ht="8.25">
      <c r="B63" s="72"/>
      <c r="D63" s="73"/>
      <c r="E63" s="74"/>
      <c r="G63" s="74"/>
    </row>
    <row r="64" spans="2:7" s="71" customFormat="1" ht="8.25">
      <c r="B64" s="72"/>
      <c r="D64" s="73"/>
      <c r="E64" s="72"/>
      <c r="G64" s="72"/>
    </row>
    <row r="65" spans="2:7" s="71" customFormat="1" ht="8.25">
      <c r="B65" s="72"/>
      <c r="D65" s="73"/>
      <c r="E65" s="72"/>
      <c r="G65" s="72"/>
    </row>
    <row r="66" spans="2:8" s="71" customFormat="1" ht="8.25">
      <c r="B66" s="72"/>
      <c r="D66" s="73"/>
      <c r="H66" s="73"/>
    </row>
    <row r="67" spans="2:4" s="71" customFormat="1" ht="8.25">
      <c r="B67" s="72"/>
      <c r="D67" s="73"/>
    </row>
    <row r="68" spans="2:4" s="71" customFormat="1" ht="8.25">
      <c r="B68" s="72"/>
      <c r="D68" s="73"/>
    </row>
    <row r="69" s="71" customFormat="1" ht="8.25">
      <c r="B69" s="72"/>
    </row>
    <row r="70" spans="2:7" s="71" customFormat="1" ht="8.25">
      <c r="B70" s="72"/>
      <c r="D70" s="73"/>
      <c r="E70" s="74"/>
      <c r="G70" s="74"/>
    </row>
    <row r="71" spans="2:4" s="71" customFormat="1" ht="8.25">
      <c r="B71" s="72"/>
      <c r="D71" s="73"/>
    </row>
    <row r="72" spans="2:4" s="71" customFormat="1" ht="8.25">
      <c r="B72" s="72"/>
      <c r="D72" s="73"/>
    </row>
    <row r="73" spans="2:7" s="71" customFormat="1" ht="8.25">
      <c r="B73" s="72"/>
      <c r="D73" s="73"/>
      <c r="E73" s="75"/>
      <c r="G73" s="75"/>
    </row>
    <row r="74" spans="2:7" s="71" customFormat="1" ht="8.25">
      <c r="B74" s="72"/>
      <c r="D74" s="73"/>
      <c r="E74" s="72"/>
      <c r="G74" s="72"/>
    </row>
    <row r="75" s="71" customFormat="1" ht="8.25">
      <c r="B75" s="72"/>
    </row>
    <row r="76" spans="2:7" s="71" customFormat="1" ht="8.25">
      <c r="B76" s="72"/>
      <c r="D76" s="73"/>
      <c r="E76" s="74"/>
      <c r="G76" s="74"/>
    </row>
    <row r="77" spans="2:7" s="71" customFormat="1" ht="8.25">
      <c r="B77" s="72"/>
      <c r="D77" s="73"/>
      <c r="E77" s="72"/>
      <c r="G77" s="72"/>
    </row>
    <row r="78" s="71" customFormat="1" ht="8.25">
      <c r="B78" s="72"/>
    </row>
    <row r="79" spans="2:7" s="71" customFormat="1" ht="8.25">
      <c r="B79" s="72"/>
      <c r="D79" s="73"/>
      <c r="E79" s="72"/>
      <c r="G79" s="72"/>
    </row>
    <row r="80" spans="2:7" s="71" customFormat="1" ht="8.25">
      <c r="B80" s="72"/>
      <c r="D80" s="73"/>
      <c r="E80" s="74"/>
      <c r="G80" s="74"/>
    </row>
    <row r="81" spans="2:7" s="71" customFormat="1" ht="8.25">
      <c r="B81" s="72"/>
      <c r="D81" s="73"/>
      <c r="E81" s="74"/>
      <c r="G81" s="74"/>
    </row>
    <row r="82" s="71" customFormat="1" ht="8.25">
      <c r="B82" s="72"/>
    </row>
    <row r="83" spans="2:7" s="71" customFormat="1" ht="8.25">
      <c r="B83" s="72"/>
      <c r="D83" s="73"/>
      <c r="E83" s="72"/>
      <c r="G83" s="72"/>
    </row>
    <row r="84" spans="2:4" s="71" customFormat="1" ht="8.25">
      <c r="B84" s="72"/>
      <c r="D84" s="73"/>
    </row>
    <row r="85" spans="2:4" s="71" customFormat="1" ht="8.25">
      <c r="B85" s="72"/>
      <c r="D85" s="73"/>
    </row>
    <row r="86" spans="2:4" s="71" customFormat="1" ht="8.25">
      <c r="B86" s="72"/>
      <c r="D86" s="73"/>
    </row>
    <row r="87" spans="2:69" s="12" customFormat="1" ht="8.25">
      <c r="B87" s="16"/>
      <c r="D87" s="14"/>
      <c r="E87" s="15"/>
      <c r="G87" s="15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</row>
    <row r="88" spans="2:69" s="12" customFormat="1" ht="8.25">
      <c r="B88" s="16"/>
      <c r="E88" s="15"/>
      <c r="G88" s="15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</row>
    <row r="89" spans="2:69" s="12" customFormat="1" ht="8.25">
      <c r="B89" s="16"/>
      <c r="D89" s="14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</row>
    <row r="90" spans="2:69" s="12" customFormat="1" ht="8.25">
      <c r="B90" s="16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</row>
    <row r="91" spans="2:69" s="12" customFormat="1" ht="8.25">
      <c r="B91" s="16"/>
      <c r="D91" s="14"/>
      <c r="E91" s="15"/>
      <c r="G91" s="15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</row>
    <row r="92" spans="2:69" s="12" customFormat="1" ht="8.25">
      <c r="B92" s="16"/>
      <c r="D92" s="14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</row>
    <row r="93" spans="2:69" s="12" customFormat="1" ht="8.25">
      <c r="B93" s="16"/>
      <c r="D93" s="14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</row>
    <row r="94" spans="2:69" s="12" customFormat="1" ht="8.25">
      <c r="B94" s="16"/>
      <c r="D94" s="14"/>
      <c r="E94" s="15"/>
      <c r="G94" s="15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</row>
    <row r="95" spans="2:69" s="12" customFormat="1" ht="8.25">
      <c r="B95" s="16"/>
      <c r="D95" s="14"/>
      <c r="E95" s="15"/>
      <c r="G95" s="15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</row>
    <row r="96" spans="2:69" s="12" customFormat="1" ht="8.25">
      <c r="B96" s="16"/>
      <c r="D96" s="14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</row>
    <row r="97" spans="2:69" s="12" customFormat="1" ht="8.25">
      <c r="B97" s="16"/>
      <c r="E97" s="15"/>
      <c r="G97" s="15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</row>
    <row r="98" spans="2:69" s="12" customFormat="1" ht="8.25">
      <c r="B98" s="16"/>
      <c r="D98" s="14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</row>
    <row r="99" spans="2:69" s="12" customFormat="1" ht="8.25">
      <c r="B99" s="16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</row>
    <row r="100" spans="2:69" s="12" customFormat="1" ht="8.25">
      <c r="B100" s="16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</row>
    <row r="101" spans="2:69" s="12" customFormat="1" ht="8.25">
      <c r="B101" s="16"/>
      <c r="D101" s="14"/>
      <c r="E101" s="16"/>
      <c r="G101" s="16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</row>
    <row r="102" spans="2:69" s="12" customFormat="1" ht="8.25">
      <c r="B102" s="16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</row>
    <row r="103" spans="2:69" s="12" customFormat="1" ht="8.25">
      <c r="B103" s="16"/>
      <c r="E103" s="15"/>
      <c r="G103" s="15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</row>
    <row r="104" spans="2:69" s="12" customFormat="1" ht="8.25">
      <c r="B104" s="16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</row>
    <row r="105" spans="2:69" s="12" customFormat="1" ht="8.25">
      <c r="B105" s="16"/>
      <c r="D105" s="14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</row>
    <row r="106" spans="2:69" s="12" customFormat="1" ht="8.25">
      <c r="B106" s="16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</row>
    <row r="107" spans="2:69" s="12" customFormat="1" ht="8.25">
      <c r="B107" s="16"/>
      <c r="E107" s="15"/>
      <c r="G107" s="15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</row>
    <row r="108" spans="2:69" s="12" customFormat="1" ht="8.25">
      <c r="B108" s="16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</row>
    <row r="109" spans="2:69" s="12" customFormat="1" ht="8.25">
      <c r="B109" s="16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</row>
    <row r="110" spans="2:69" s="12" customFormat="1" ht="8.25">
      <c r="B110" s="16"/>
      <c r="D110" s="14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</row>
    <row r="111" spans="2:69" s="12" customFormat="1" ht="8.25">
      <c r="B111" s="16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</row>
    <row r="112" spans="2:69" s="12" customFormat="1" ht="8.25">
      <c r="B112" s="16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</row>
    <row r="113" spans="2:69" s="12" customFormat="1" ht="8.25">
      <c r="B113" s="16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</row>
    <row r="114" spans="2:69" s="12" customFormat="1" ht="8.25">
      <c r="B114" s="16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</row>
    <row r="115" spans="2:69" s="12" customFormat="1" ht="8.25">
      <c r="B115" s="16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</row>
    <row r="116" spans="2:69" s="12" customFormat="1" ht="8.25">
      <c r="B116" s="16"/>
      <c r="D116" s="14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</row>
    <row r="117" spans="2:69" s="12" customFormat="1" ht="8.25">
      <c r="B117" s="16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</row>
    <row r="118" spans="2:69" s="12" customFormat="1" ht="8.25">
      <c r="B118" s="16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</row>
    <row r="119" spans="2:69" s="12" customFormat="1" ht="8.25">
      <c r="B119" s="16"/>
      <c r="D119" s="14"/>
      <c r="E119" s="16"/>
      <c r="G119" s="16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</row>
    <row r="120" spans="2:69" s="12" customFormat="1" ht="8.25">
      <c r="B120" s="16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</row>
    <row r="121" spans="2:69" s="12" customFormat="1" ht="8.25">
      <c r="B121" s="16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</row>
    <row r="122" spans="2:69" s="12" customFormat="1" ht="8.25">
      <c r="B122" s="16"/>
      <c r="D122" s="14"/>
      <c r="E122" s="15"/>
      <c r="G122" s="15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</row>
    <row r="123" spans="2:69" s="12" customFormat="1" ht="8.25">
      <c r="B123" s="16"/>
      <c r="D123" s="14"/>
      <c r="E123" s="17"/>
      <c r="G123" s="17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</row>
    <row r="124" spans="2:69" s="12" customFormat="1" ht="8.25">
      <c r="B124" s="16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</row>
    <row r="125" spans="2:69" s="12" customFormat="1" ht="8.25">
      <c r="B125" s="16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</row>
    <row r="126" spans="2:69" s="12" customFormat="1" ht="8.25">
      <c r="B126" s="16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</row>
    <row r="127" spans="2:69" s="12" customFormat="1" ht="8.25">
      <c r="B127" s="16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</row>
    <row r="128" spans="2:69" s="12" customFormat="1" ht="8.25">
      <c r="B128" s="16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</row>
    <row r="129" spans="2:69" s="12" customFormat="1" ht="8.25">
      <c r="B129" s="16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</row>
    <row r="130" spans="2:69" s="12" customFormat="1" ht="8.25">
      <c r="B130" s="16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</row>
    <row r="131" spans="2:69" s="12" customFormat="1" ht="8.25">
      <c r="B131" s="16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</row>
    <row r="132" spans="2:69" s="12" customFormat="1" ht="8.25">
      <c r="B132" s="16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</row>
    <row r="133" spans="2:69" s="12" customFormat="1" ht="8.25">
      <c r="B133" s="16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</row>
    <row r="134" spans="2:69" s="12" customFormat="1" ht="8.25">
      <c r="B134" s="16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</row>
    <row r="135" spans="2:69" s="12" customFormat="1" ht="8.25">
      <c r="B135" s="16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</row>
    <row r="136" spans="2:69" s="12" customFormat="1" ht="8.25">
      <c r="B136" s="16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</row>
    <row r="137" spans="2:69" s="12" customFormat="1" ht="8.25">
      <c r="B137" s="16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</row>
    <row r="138" spans="2:69" s="12" customFormat="1" ht="8.25">
      <c r="B138" s="16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</row>
    <row r="139" spans="2:69" s="12" customFormat="1" ht="8.25">
      <c r="B139" s="16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</row>
    <row r="140" spans="2:69" s="12" customFormat="1" ht="8.25">
      <c r="B140" s="16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</row>
    <row r="141" spans="2:69" s="12" customFormat="1" ht="8.25">
      <c r="B141" s="16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</row>
    <row r="142" spans="2:69" s="12" customFormat="1" ht="8.25">
      <c r="B142" s="16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</row>
    <row r="143" spans="2:69" s="12" customFormat="1" ht="8.25">
      <c r="B143" s="16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</row>
    <row r="144" spans="2:69" s="12" customFormat="1" ht="8.25">
      <c r="B144" s="16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</row>
    <row r="145" spans="2:69" s="12" customFormat="1" ht="8.25">
      <c r="B145" s="16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</row>
    <row r="146" spans="2:69" s="12" customFormat="1" ht="8.25">
      <c r="B146" s="16"/>
      <c r="H146" s="14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</row>
    <row r="147" spans="2:69" s="12" customFormat="1" ht="8.25">
      <c r="B147" s="16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</row>
    <row r="148" spans="2:69" s="12" customFormat="1" ht="8.25">
      <c r="B148" s="16"/>
      <c r="H148" s="14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</row>
    <row r="149" spans="2:69" s="12" customFormat="1" ht="8.25">
      <c r="B149" s="16"/>
      <c r="H149" s="14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</row>
    <row r="150" spans="2:69" s="12" customFormat="1" ht="8.25">
      <c r="B150" s="16"/>
      <c r="H150" s="14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</row>
    <row r="151" spans="2:69" s="12" customFormat="1" ht="8.25">
      <c r="B151" s="16"/>
      <c r="H151" s="14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</row>
    <row r="152" spans="2:69" s="12" customFormat="1" ht="8.25">
      <c r="B152" s="16"/>
      <c r="H152" s="14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</row>
    <row r="153" spans="2:69" s="12" customFormat="1" ht="8.25">
      <c r="B153" s="16"/>
      <c r="H153" s="14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</row>
    <row r="154" spans="2:69" s="12" customFormat="1" ht="8.25">
      <c r="B154" s="16"/>
      <c r="H154" s="14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</row>
    <row r="155" spans="2:69" s="12" customFormat="1" ht="8.25">
      <c r="B155" s="16"/>
      <c r="H155" s="14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</row>
    <row r="156" spans="2:69" s="12" customFormat="1" ht="8.25">
      <c r="B156" s="16"/>
      <c r="H156" s="14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</row>
    <row r="157" spans="2:69" s="12" customFormat="1" ht="8.25">
      <c r="B157" s="16"/>
      <c r="H157" s="14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</row>
    <row r="158" spans="2:69" s="12" customFormat="1" ht="8.25">
      <c r="B158" s="16"/>
      <c r="H158" s="14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</row>
    <row r="159" spans="2:69" s="12" customFormat="1" ht="8.25">
      <c r="B159" s="16"/>
      <c r="H159" s="14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</row>
    <row r="160" spans="2:69" s="12" customFormat="1" ht="8.25">
      <c r="B160" s="16"/>
      <c r="H160" s="14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</row>
    <row r="161" spans="2:69" s="12" customFormat="1" ht="8.25">
      <c r="B161" s="16"/>
      <c r="H161" s="14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</row>
    <row r="162" spans="2:69" s="12" customFormat="1" ht="8.25">
      <c r="B162" s="16"/>
      <c r="H162" s="14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</row>
    <row r="163" spans="2:69" s="12" customFormat="1" ht="8.25">
      <c r="B163" s="16"/>
      <c r="H163" s="14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</row>
    <row r="164" spans="2:69" s="12" customFormat="1" ht="8.25">
      <c r="B164" s="16"/>
      <c r="H164" s="14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</row>
    <row r="165" spans="2:69" s="12" customFormat="1" ht="8.25">
      <c r="B165" s="16"/>
      <c r="H165" s="14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</row>
    <row r="166" spans="2:69" s="12" customFormat="1" ht="8.25">
      <c r="B166" s="16"/>
      <c r="H166" s="14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</row>
    <row r="167" spans="2:69" s="12" customFormat="1" ht="8.25">
      <c r="B167" s="16"/>
      <c r="H167" s="14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</row>
    <row r="168" spans="2:69" s="12" customFormat="1" ht="8.25">
      <c r="B168" s="16"/>
      <c r="H168" s="14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</row>
    <row r="169" spans="2:69" s="12" customFormat="1" ht="8.25">
      <c r="B169" s="16"/>
      <c r="H169" s="14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</row>
    <row r="170" spans="2:69" s="12" customFormat="1" ht="8.25">
      <c r="B170" s="16"/>
      <c r="H170" s="14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</row>
    <row r="171" spans="2:69" s="12" customFormat="1" ht="8.25">
      <c r="B171" s="16"/>
      <c r="H171" s="14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</row>
    <row r="172" spans="2:69" s="12" customFormat="1" ht="8.25">
      <c r="B172" s="16"/>
      <c r="H172" s="14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</row>
    <row r="173" spans="2:69" s="12" customFormat="1" ht="8.25">
      <c r="B173" s="16"/>
      <c r="H173" s="14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</row>
    <row r="174" spans="2:69" s="12" customFormat="1" ht="8.25">
      <c r="B174" s="16"/>
      <c r="H174" s="14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</row>
    <row r="175" spans="2:69" s="12" customFormat="1" ht="8.25">
      <c r="B175" s="16"/>
      <c r="H175" s="14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</row>
    <row r="176" spans="2:69" s="12" customFormat="1" ht="8.25">
      <c r="B176" s="16"/>
      <c r="H176" s="14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</row>
    <row r="177" spans="2:69" s="12" customFormat="1" ht="8.25">
      <c r="B177" s="16"/>
      <c r="H177" s="14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</row>
    <row r="178" spans="2:69" s="12" customFormat="1" ht="8.25">
      <c r="B178" s="16"/>
      <c r="H178" s="14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</row>
    <row r="179" spans="2:69" s="12" customFormat="1" ht="8.25">
      <c r="B179" s="16"/>
      <c r="H179" s="14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</row>
    <row r="180" spans="2:69" s="12" customFormat="1" ht="8.25">
      <c r="B180" s="16"/>
      <c r="H180" s="14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</row>
    <row r="181" spans="2:69" s="12" customFormat="1" ht="8.25">
      <c r="B181" s="16"/>
      <c r="H181" s="14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</row>
    <row r="182" spans="2:69" s="12" customFormat="1" ht="8.25">
      <c r="B182" s="16"/>
      <c r="H182" s="14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</row>
    <row r="183" spans="2:69" s="12" customFormat="1" ht="8.25">
      <c r="B183" s="16"/>
      <c r="H183" s="14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</row>
    <row r="184" spans="2:69" s="12" customFormat="1" ht="8.25">
      <c r="B184" s="16"/>
      <c r="H184" s="14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</row>
    <row r="185" spans="2:69" s="12" customFormat="1" ht="8.25">
      <c r="B185" s="16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</row>
    <row r="186" spans="2:69" s="12" customFormat="1" ht="8.25">
      <c r="B186" s="16"/>
      <c r="H186" s="14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</row>
    <row r="187" spans="2:69" s="12" customFormat="1" ht="8.25">
      <c r="B187" s="16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</row>
    <row r="188" spans="2:69" s="12" customFormat="1" ht="8.25">
      <c r="B188" s="16"/>
      <c r="H188" s="14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</row>
    <row r="189" spans="2:69" s="12" customFormat="1" ht="8.25">
      <c r="B189" s="16"/>
      <c r="H189" s="14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</row>
    <row r="190" spans="2:69" s="12" customFormat="1" ht="8.25">
      <c r="B190" s="16"/>
      <c r="H190" s="14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</row>
    <row r="191" spans="2:69" s="12" customFormat="1" ht="8.25">
      <c r="B191" s="16"/>
      <c r="H191" s="14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</row>
    <row r="192" spans="2:69" s="12" customFormat="1" ht="8.25">
      <c r="B192" s="16"/>
      <c r="H192" s="14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</row>
    <row r="193" spans="2:69" s="12" customFormat="1" ht="8.25">
      <c r="B193" s="16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</row>
    <row r="194" spans="2:69" s="12" customFormat="1" ht="8.25">
      <c r="B194" s="16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</row>
    <row r="195" spans="2:69" s="12" customFormat="1" ht="8.25">
      <c r="B195" s="16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</row>
    <row r="196" spans="2:69" s="12" customFormat="1" ht="8.25">
      <c r="B196" s="16"/>
      <c r="H196" s="14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</row>
    <row r="197" spans="2:69" s="12" customFormat="1" ht="8.25">
      <c r="B197" s="16"/>
      <c r="H197" s="14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</row>
    <row r="198" spans="2:69" s="12" customFormat="1" ht="8.25">
      <c r="B198" s="16"/>
      <c r="H198" s="14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</row>
    <row r="199" spans="2:69" s="12" customFormat="1" ht="8.25">
      <c r="B199" s="16"/>
      <c r="H199" s="14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</row>
    <row r="200" spans="2:69" s="12" customFormat="1" ht="8.25">
      <c r="B200" s="16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</row>
    <row r="201" spans="2:69" s="12" customFormat="1" ht="8.25">
      <c r="B201" s="16"/>
      <c r="H201" s="14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</row>
    <row r="202" spans="2:69" s="12" customFormat="1" ht="8.25">
      <c r="B202" s="16"/>
      <c r="H202" s="14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</row>
    <row r="203" spans="2:69" s="12" customFormat="1" ht="8.25">
      <c r="B203" s="16"/>
      <c r="H203" s="14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</row>
    <row r="204" spans="2:69" s="12" customFormat="1" ht="8.25">
      <c r="B204" s="16"/>
      <c r="H204" s="14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</row>
    <row r="205" spans="2:69" s="12" customFormat="1" ht="8.25">
      <c r="B205" s="16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</row>
    <row r="206" spans="2:69" s="12" customFormat="1" ht="8.25">
      <c r="B206" s="16"/>
      <c r="H206" s="14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</row>
    <row r="207" spans="2:69" s="12" customFormat="1" ht="8.25">
      <c r="B207" s="16"/>
      <c r="H207" s="14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</row>
    <row r="208" spans="2:69" s="12" customFormat="1" ht="8.25">
      <c r="B208" s="16"/>
      <c r="D208" s="14"/>
      <c r="H208" s="14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</row>
    <row r="209" spans="2:69" s="12" customFormat="1" ht="8.25">
      <c r="B209" s="16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</row>
    <row r="210" spans="2:69" s="12" customFormat="1" ht="8.25">
      <c r="B210" s="16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</row>
    <row r="211" spans="2:69" s="12" customFormat="1" ht="8.25">
      <c r="B211" s="16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</row>
    <row r="212" spans="2:69" s="12" customFormat="1" ht="8.25">
      <c r="B212" s="16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</row>
    <row r="213" spans="2:69" s="12" customFormat="1" ht="8.25">
      <c r="B213" s="16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</row>
    <row r="214" spans="2:69" s="12" customFormat="1" ht="8.25">
      <c r="B214" s="16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</row>
    <row r="215" ht="12.75">
      <c r="I215" s="12"/>
    </row>
  </sheetData>
  <mergeCells count="6">
    <mergeCell ref="D5:F5"/>
    <mergeCell ref="H5:I5"/>
    <mergeCell ref="A2:I2"/>
    <mergeCell ref="A5:A6"/>
    <mergeCell ref="B5:B6"/>
    <mergeCell ref="C5:C6"/>
  </mergeCells>
  <printOptions horizontalCentered="1"/>
  <pageMargins left="1.1811023622047245" right="1.1811023622047245" top="1.1811023622047245" bottom="1.5748031496062993" header="0" footer="1.2598425196850394"/>
  <pageSetup firstPageNumber="180" useFirstPageNumber="1" horizontalDpi="300" verticalDpi="300" orientation="portrait" paperSize="9" r:id="rId2"/>
  <headerFooter alignWithMargins="0">
    <oddFooter>&amp;C&amp;9 180</oddFooter>
  </headerFooter>
  <rowBreaks count="1" manualBreakCount="1">
    <brk id="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24">
      <selection activeCell="C47" sqref="C47"/>
    </sheetView>
  </sheetViews>
  <sheetFormatPr defaultColWidth="9.140625" defaultRowHeight="12.75"/>
  <cols>
    <col min="1" max="1" width="15.8515625" style="18" customWidth="1"/>
    <col min="2" max="2" width="6.00390625" style="18" customWidth="1"/>
    <col min="3" max="3" width="18.28125" style="18" customWidth="1"/>
    <col min="4" max="4" width="6.28125" style="18" customWidth="1"/>
    <col min="5" max="5" width="5.8515625" style="18" customWidth="1"/>
    <col min="6" max="6" width="6.28125" style="18" customWidth="1"/>
    <col min="7" max="7" width="6.140625" style="18" customWidth="1"/>
    <col min="8" max="8" width="0.85546875" style="18" customWidth="1"/>
    <col min="9" max="9" width="4.57421875" style="18" customWidth="1"/>
    <col min="10" max="10" width="0.85546875" style="18" customWidth="1"/>
    <col min="11" max="11" width="5.00390625" style="18" customWidth="1"/>
    <col min="12" max="13" width="8.8515625" style="18" customWidth="1"/>
    <col min="14" max="14" width="5.57421875" style="18" customWidth="1"/>
    <col min="15" max="16384" width="8.8515625" style="18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2">
      <c r="A2" s="19" t="s">
        <v>559</v>
      </c>
      <c r="B2" s="19"/>
      <c r="C2" s="13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</row>
    <row r="3" spans="1:14" ht="9" customHeight="1">
      <c r="A3" s="20"/>
      <c r="B3" s="43"/>
      <c r="C3" s="22"/>
      <c r="D3" s="22"/>
      <c r="E3" s="22"/>
      <c r="F3" s="22"/>
      <c r="G3" s="22"/>
      <c r="H3" s="22"/>
      <c r="I3" s="22"/>
      <c r="J3" s="22"/>
      <c r="K3" s="22"/>
      <c r="L3" s="20"/>
      <c r="M3" s="1"/>
      <c r="N3" s="1"/>
    </row>
    <row r="4" spans="1:14" s="23" customFormat="1" ht="13.5" customHeight="1">
      <c r="A4" s="55"/>
      <c r="B4" s="48"/>
      <c r="C4" s="49"/>
      <c r="D4" s="371" t="s">
        <v>93</v>
      </c>
      <c r="E4" s="371"/>
      <c r="F4" s="371"/>
      <c r="G4" s="371"/>
      <c r="H4" s="87"/>
      <c r="I4" s="372" t="s">
        <v>92</v>
      </c>
      <c r="J4" s="88"/>
      <c r="K4" s="374" t="s">
        <v>0</v>
      </c>
      <c r="L4" s="24"/>
      <c r="M4" s="3"/>
      <c r="N4" s="3"/>
    </row>
    <row r="5" spans="1:14" s="23" customFormat="1" ht="12.75" customHeight="1">
      <c r="A5" s="50" t="s">
        <v>41</v>
      </c>
      <c r="B5" s="50" t="s">
        <v>193</v>
      </c>
      <c r="C5" s="50" t="s">
        <v>512</v>
      </c>
      <c r="D5" s="88" t="s">
        <v>43</v>
      </c>
      <c r="E5" s="88" t="s">
        <v>44</v>
      </c>
      <c r="F5" s="88" t="s">
        <v>45</v>
      </c>
      <c r="G5" s="88" t="s">
        <v>0</v>
      </c>
      <c r="H5" s="88"/>
      <c r="I5" s="372"/>
      <c r="J5" s="88"/>
      <c r="K5" s="372"/>
      <c r="L5" s="25"/>
      <c r="M5" s="25"/>
      <c r="N5" s="24"/>
    </row>
    <row r="6" spans="1:14" s="23" customFormat="1" ht="12.75" customHeight="1">
      <c r="A6" s="51"/>
      <c r="B6" s="305"/>
      <c r="C6" s="51"/>
      <c r="D6" s="90" t="s">
        <v>91</v>
      </c>
      <c r="E6" s="89" t="s">
        <v>113</v>
      </c>
      <c r="F6" s="90" t="s">
        <v>90</v>
      </c>
      <c r="G6" s="90"/>
      <c r="H6" s="90"/>
      <c r="I6" s="373"/>
      <c r="J6" s="90"/>
      <c r="K6" s="373"/>
      <c r="L6" s="25"/>
      <c r="M6" s="25"/>
      <c r="N6" s="24"/>
    </row>
    <row r="7" spans="1:14" ht="9" customHeight="1">
      <c r="A7" s="84"/>
      <c r="B7" s="52"/>
      <c r="C7" s="84"/>
      <c r="D7" s="46"/>
      <c r="E7" s="46"/>
      <c r="F7" s="46"/>
      <c r="G7" s="46"/>
      <c r="H7" s="46"/>
      <c r="I7" s="46"/>
      <c r="J7" s="46"/>
      <c r="K7" s="20"/>
      <c r="L7" s="20"/>
      <c r="M7" s="20"/>
      <c r="N7" s="20"/>
    </row>
    <row r="8" spans="1:14" s="1" customFormat="1" ht="9" customHeight="1">
      <c r="A8" s="85" t="s">
        <v>3</v>
      </c>
      <c r="B8" s="53" t="s">
        <v>46</v>
      </c>
      <c r="C8" s="94" t="s">
        <v>47</v>
      </c>
      <c r="D8" s="44">
        <v>728</v>
      </c>
      <c r="E8" s="44">
        <v>459</v>
      </c>
      <c r="F8" s="44">
        <v>335</v>
      </c>
      <c r="G8" s="44">
        <v>1522</v>
      </c>
      <c r="H8" s="44"/>
      <c r="I8" s="44">
        <v>96</v>
      </c>
      <c r="J8" s="44"/>
      <c r="K8" s="44">
        <v>1618</v>
      </c>
      <c r="L8" s="27"/>
      <c r="M8" s="27"/>
      <c r="N8" s="28"/>
    </row>
    <row r="9" spans="1:14" s="1" customFormat="1" ht="9" customHeight="1">
      <c r="A9" s="85" t="s">
        <v>4</v>
      </c>
      <c r="B9" s="53" t="s">
        <v>48</v>
      </c>
      <c r="C9" s="94" t="s">
        <v>475</v>
      </c>
      <c r="D9" s="44">
        <v>11759</v>
      </c>
      <c r="E9" s="44">
        <v>5371</v>
      </c>
      <c r="F9" s="44">
        <v>5353</v>
      </c>
      <c r="G9" s="44">
        <v>22483</v>
      </c>
      <c r="H9" s="44"/>
      <c r="I9" s="44">
        <v>1463</v>
      </c>
      <c r="J9" s="44"/>
      <c r="K9" s="44">
        <v>23946</v>
      </c>
      <c r="L9" s="27"/>
      <c r="M9" s="27"/>
      <c r="N9" s="28"/>
    </row>
    <row r="10" spans="1:14" s="1" customFormat="1" ht="9" customHeight="1">
      <c r="A10" s="306" t="s">
        <v>5</v>
      </c>
      <c r="B10" s="53" t="s">
        <v>49</v>
      </c>
      <c r="C10" s="94" t="s">
        <v>50</v>
      </c>
      <c r="D10" s="44">
        <v>2455</v>
      </c>
      <c r="E10" s="44">
        <v>2792</v>
      </c>
      <c r="F10" s="44">
        <v>9764</v>
      </c>
      <c r="G10" s="44">
        <v>15011</v>
      </c>
      <c r="H10" s="44"/>
      <c r="I10" s="44">
        <v>479</v>
      </c>
      <c r="J10" s="44"/>
      <c r="K10" s="44">
        <v>15490</v>
      </c>
      <c r="L10" s="27"/>
      <c r="M10" s="27"/>
      <c r="N10" s="28"/>
    </row>
    <row r="11" spans="1:14" s="1" customFormat="1" ht="9" customHeight="1">
      <c r="A11" s="85" t="s">
        <v>6</v>
      </c>
      <c r="B11" s="53" t="s">
        <v>51</v>
      </c>
      <c r="C11" s="94" t="s">
        <v>476</v>
      </c>
      <c r="D11" s="44">
        <v>3969</v>
      </c>
      <c r="E11" s="44">
        <v>4801</v>
      </c>
      <c r="F11" s="44">
        <v>696</v>
      </c>
      <c r="G11" s="44">
        <v>9466</v>
      </c>
      <c r="H11" s="44"/>
      <c r="I11" s="44">
        <v>959</v>
      </c>
      <c r="J11" s="44"/>
      <c r="K11" s="44">
        <v>10425</v>
      </c>
      <c r="L11" s="27"/>
      <c r="M11" s="27"/>
      <c r="N11" s="28"/>
    </row>
    <row r="12" spans="1:14" s="1" customFormat="1" ht="9" customHeight="1">
      <c r="A12" s="306" t="s">
        <v>7</v>
      </c>
      <c r="B12" s="306" t="s">
        <v>52</v>
      </c>
      <c r="C12" s="94" t="s">
        <v>477</v>
      </c>
      <c r="D12" s="44">
        <v>19795</v>
      </c>
      <c r="E12" s="44" t="s">
        <v>1</v>
      </c>
      <c r="F12" s="44">
        <v>626</v>
      </c>
      <c r="G12" s="44">
        <v>20421</v>
      </c>
      <c r="H12" s="44"/>
      <c r="I12" s="44">
        <v>408</v>
      </c>
      <c r="J12" s="44"/>
      <c r="K12" s="44">
        <v>20829</v>
      </c>
      <c r="L12" s="27"/>
      <c r="M12" s="27"/>
      <c r="N12" s="28"/>
    </row>
    <row r="13" spans="1:14" s="1" customFormat="1" ht="9" customHeight="1">
      <c r="A13" s="306" t="s">
        <v>8</v>
      </c>
      <c r="B13" s="306" t="s">
        <v>53</v>
      </c>
      <c r="C13" s="94" t="s">
        <v>513</v>
      </c>
      <c r="D13" s="44">
        <v>32610</v>
      </c>
      <c r="E13" s="44" t="s">
        <v>1</v>
      </c>
      <c r="F13" s="44">
        <v>351</v>
      </c>
      <c r="G13" s="44">
        <v>32961</v>
      </c>
      <c r="H13" s="44"/>
      <c r="I13" s="44">
        <v>2342</v>
      </c>
      <c r="J13" s="44"/>
      <c r="K13" s="44">
        <v>35303</v>
      </c>
      <c r="L13" s="27"/>
      <c r="M13" s="27"/>
      <c r="N13" s="28"/>
    </row>
    <row r="14" spans="1:14" s="1" customFormat="1" ht="9" customHeight="1">
      <c r="A14" s="306" t="s">
        <v>9</v>
      </c>
      <c r="B14" s="306" t="s">
        <v>54</v>
      </c>
      <c r="C14" s="94" t="s">
        <v>479</v>
      </c>
      <c r="D14" s="44">
        <v>108544</v>
      </c>
      <c r="E14" s="44">
        <v>48580</v>
      </c>
      <c r="F14" s="44">
        <v>31121</v>
      </c>
      <c r="G14" s="44">
        <v>188245</v>
      </c>
      <c r="H14" s="44"/>
      <c r="I14" s="44">
        <v>4606</v>
      </c>
      <c r="J14" s="44"/>
      <c r="K14" s="44">
        <v>192851</v>
      </c>
      <c r="L14" s="27"/>
      <c r="M14" s="27"/>
      <c r="N14" s="28"/>
    </row>
    <row r="15" spans="1:14" s="1" customFormat="1" ht="9" customHeight="1">
      <c r="A15" s="85" t="s">
        <v>10</v>
      </c>
      <c r="B15" s="53" t="s">
        <v>55</v>
      </c>
      <c r="C15" s="94" t="s">
        <v>480</v>
      </c>
      <c r="D15" s="44">
        <v>2136</v>
      </c>
      <c r="E15" s="44">
        <v>1132</v>
      </c>
      <c r="F15" s="44">
        <v>131</v>
      </c>
      <c r="G15" s="44">
        <v>3399</v>
      </c>
      <c r="H15" s="44"/>
      <c r="I15" s="44">
        <v>254</v>
      </c>
      <c r="J15" s="44"/>
      <c r="K15" s="44">
        <v>3653</v>
      </c>
      <c r="L15" s="27"/>
      <c r="M15" s="27"/>
      <c r="N15" s="28"/>
    </row>
    <row r="16" spans="1:14" s="1" customFormat="1" ht="9" customHeight="1">
      <c r="A16" s="306" t="s">
        <v>11</v>
      </c>
      <c r="B16" s="306" t="s">
        <v>56</v>
      </c>
      <c r="C16" s="94" t="s">
        <v>481</v>
      </c>
      <c r="D16" s="44">
        <v>2380</v>
      </c>
      <c r="E16" s="44">
        <v>419</v>
      </c>
      <c r="F16" s="44">
        <v>140</v>
      </c>
      <c r="G16" s="44">
        <v>2939</v>
      </c>
      <c r="H16" s="44"/>
      <c r="I16" s="44">
        <v>131</v>
      </c>
      <c r="J16" s="44"/>
      <c r="K16" s="44">
        <v>3070</v>
      </c>
      <c r="L16" s="27"/>
      <c r="M16" s="27"/>
      <c r="N16" s="28"/>
    </row>
    <row r="17" spans="1:14" s="1" customFormat="1" ht="9" customHeight="1">
      <c r="A17" s="306" t="s">
        <v>12</v>
      </c>
      <c r="B17" s="306" t="s">
        <v>57</v>
      </c>
      <c r="C17" s="94" t="s">
        <v>514</v>
      </c>
      <c r="D17" s="44">
        <v>37049</v>
      </c>
      <c r="E17" s="44">
        <v>3562</v>
      </c>
      <c r="F17" s="44">
        <v>1993</v>
      </c>
      <c r="G17" s="44">
        <v>42604</v>
      </c>
      <c r="H17" s="44"/>
      <c r="I17" s="44">
        <v>2137</v>
      </c>
      <c r="J17" s="44"/>
      <c r="K17" s="44">
        <v>44741</v>
      </c>
      <c r="L17" s="27"/>
      <c r="M17" s="27"/>
      <c r="N17" s="28"/>
    </row>
    <row r="18" spans="1:14" s="1" customFormat="1" ht="9" customHeight="1">
      <c r="A18" s="306" t="s">
        <v>13</v>
      </c>
      <c r="B18" s="53" t="s">
        <v>58</v>
      </c>
      <c r="C18" s="94" t="s">
        <v>515</v>
      </c>
      <c r="D18" s="44" t="s">
        <v>1</v>
      </c>
      <c r="E18" s="44" t="s">
        <v>1</v>
      </c>
      <c r="F18" s="44">
        <v>5438</v>
      </c>
      <c r="G18" s="44">
        <v>5438</v>
      </c>
      <c r="H18" s="44"/>
      <c r="I18" s="44" t="s">
        <v>1</v>
      </c>
      <c r="J18" s="44"/>
      <c r="K18" s="44">
        <v>5438</v>
      </c>
      <c r="L18" s="27"/>
      <c r="M18" s="27"/>
      <c r="N18" s="28"/>
    </row>
    <row r="19" spans="1:11" s="306" customFormat="1" ht="9" customHeight="1">
      <c r="A19" s="306" t="s">
        <v>14</v>
      </c>
      <c r="B19" s="306" t="s">
        <v>59</v>
      </c>
      <c r="C19" s="94" t="s">
        <v>516</v>
      </c>
      <c r="D19" s="306">
        <v>4971</v>
      </c>
      <c r="E19" s="306">
        <v>4859</v>
      </c>
      <c r="F19" s="306">
        <v>191</v>
      </c>
      <c r="G19" s="306">
        <v>10021</v>
      </c>
      <c r="I19" s="306">
        <v>1274</v>
      </c>
      <c r="K19" s="306">
        <v>11295</v>
      </c>
    </row>
    <row r="20" spans="1:11" s="306" customFormat="1" ht="9" customHeight="1">
      <c r="A20" s="306" t="s">
        <v>15</v>
      </c>
      <c r="B20" s="306" t="s">
        <v>60</v>
      </c>
      <c r="C20" s="94" t="s">
        <v>517</v>
      </c>
      <c r="D20" s="306">
        <v>1035</v>
      </c>
      <c r="E20" s="306">
        <v>414</v>
      </c>
      <c r="F20" s="306">
        <v>119</v>
      </c>
      <c r="G20" s="306">
        <v>1568</v>
      </c>
      <c r="I20" s="306">
        <v>150</v>
      </c>
      <c r="K20" s="306">
        <v>1718</v>
      </c>
    </row>
    <row r="21" spans="1:14" s="1" customFormat="1" ht="9" customHeight="1">
      <c r="A21" s="85" t="s">
        <v>16</v>
      </c>
      <c r="B21" s="53" t="s">
        <v>61</v>
      </c>
      <c r="C21" s="94" t="s">
        <v>483</v>
      </c>
      <c r="D21" s="44">
        <v>2233</v>
      </c>
      <c r="E21" s="44">
        <v>1974</v>
      </c>
      <c r="F21" s="44">
        <v>899</v>
      </c>
      <c r="G21" s="44">
        <v>5106</v>
      </c>
      <c r="H21" s="44"/>
      <c r="I21" s="44">
        <v>271</v>
      </c>
      <c r="J21" s="44"/>
      <c r="K21" s="44">
        <v>5377</v>
      </c>
      <c r="L21" s="27"/>
      <c r="M21" s="27"/>
      <c r="N21" s="28"/>
    </row>
    <row r="22" spans="1:14" s="1" customFormat="1" ht="9" customHeight="1">
      <c r="A22" s="85" t="s">
        <v>17</v>
      </c>
      <c r="B22" s="53" t="s">
        <v>62</v>
      </c>
      <c r="C22" s="94" t="s">
        <v>484</v>
      </c>
      <c r="D22" s="44">
        <v>1401</v>
      </c>
      <c r="E22" s="44">
        <v>490</v>
      </c>
      <c r="F22" s="44">
        <v>222</v>
      </c>
      <c r="G22" s="44">
        <v>2113</v>
      </c>
      <c r="H22" s="44"/>
      <c r="I22" s="44">
        <v>95</v>
      </c>
      <c r="J22" s="44"/>
      <c r="K22" s="44">
        <v>2208</v>
      </c>
      <c r="L22" s="27"/>
      <c r="M22" s="27"/>
      <c r="N22" s="28"/>
    </row>
    <row r="23" spans="1:14" s="1" customFormat="1" ht="18" customHeight="1">
      <c r="A23" s="85" t="s">
        <v>18</v>
      </c>
      <c r="B23" s="53" t="s">
        <v>63</v>
      </c>
      <c r="C23" s="94" t="s">
        <v>485</v>
      </c>
      <c r="D23" s="44">
        <v>7864</v>
      </c>
      <c r="E23" s="44">
        <v>2028</v>
      </c>
      <c r="F23" s="44">
        <v>948</v>
      </c>
      <c r="G23" s="44">
        <v>10840</v>
      </c>
      <c r="H23" s="44"/>
      <c r="I23" s="44">
        <v>526</v>
      </c>
      <c r="J23" s="44"/>
      <c r="K23" s="44">
        <v>11366</v>
      </c>
      <c r="L23" s="27"/>
      <c r="M23" s="27"/>
      <c r="N23" s="28"/>
    </row>
    <row r="24" spans="1:14" s="1" customFormat="1" ht="9" customHeight="1">
      <c r="A24" s="85" t="s">
        <v>19</v>
      </c>
      <c r="B24" s="53" t="s">
        <v>64</v>
      </c>
      <c r="C24" s="94" t="s">
        <v>486</v>
      </c>
      <c r="D24" s="44">
        <v>14623</v>
      </c>
      <c r="E24" s="44">
        <v>5990</v>
      </c>
      <c r="F24" s="44">
        <v>1507</v>
      </c>
      <c r="G24" s="44">
        <v>22120</v>
      </c>
      <c r="H24" s="44"/>
      <c r="I24" s="44">
        <v>1005</v>
      </c>
      <c r="J24" s="44"/>
      <c r="K24" s="44">
        <v>23125</v>
      </c>
      <c r="L24" s="27"/>
      <c r="M24" s="27"/>
      <c r="N24" s="28"/>
    </row>
    <row r="25" spans="1:14" s="1" customFormat="1" ht="9" customHeight="1">
      <c r="A25" s="85" t="s">
        <v>20</v>
      </c>
      <c r="B25" s="53" t="s">
        <v>65</v>
      </c>
      <c r="C25" s="94" t="s">
        <v>518</v>
      </c>
      <c r="D25" s="44">
        <v>1037</v>
      </c>
      <c r="E25" s="44">
        <v>4874</v>
      </c>
      <c r="F25" s="44" t="s">
        <v>1</v>
      </c>
      <c r="G25" s="44">
        <v>5911</v>
      </c>
      <c r="H25" s="44"/>
      <c r="I25" s="44">
        <v>268</v>
      </c>
      <c r="J25" s="44"/>
      <c r="K25" s="44">
        <v>6179</v>
      </c>
      <c r="L25" s="27"/>
      <c r="M25" s="27"/>
      <c r="N25" s="28"/>
    </row>
    <row r="26" spans="1:14" s="1" customFormat="1" ht="9" customHeight="1">
      <c r="A26" s="85" t="s">
        <v>21</v>
      </c>
      <c r="B26" s="53" t="s">
        <v>66</v>
      </c>
      <c r="C26" s="94" t="s">
        <v>519</v>
      </c>
      <c r="D26" s="44">
        <v>14100</v>
      </c>
      <c r="E26" s="44">
        <v>98</v>
      </c>
      <c r="F26" s="44">
        <v>3643</v>
      </c>
      <c r="G26" s="44">
        <v>17841</v>
      </c>
      <c r="H26" s="44"/>
      <c r="I26" s="44">
        <v>153</v>
      </c>
      <c r="J26" s="44"/>
      <c r="K26" s="44">
        <v>17994</v>
      </c>
      <c r="L26" s="27"/>
      <c r="M26" s="27"/>
      <c r="N26" s="29"/>
    </row>
    <row r="27" spans="1:13" s="1" customFormat="1" ht="9" customHeight="1">
      <c r="A27" s="85" t="s">
        <v>22</v>
      </c>
      <c r="B27" s="53" t="s">
        <v>67</v>
      </c>
      <c r="C27" s="94" t="s">
        <v>487</v>
      </c>
      <c r="D27" s="44">
        <v>691</v>
      </c>
      <c r="E27" s="44">
        <v>16</v>
      </c>
      <c r="F27" s="44">
        <v>189</v>
      </c>
      <c r="G27" s="44">
        <v>896</v>
      </c>
      <c r="H27" s="44"/>
      <c r="I27" s="44">
        <v>80</v>
      </c>
      <c r="J27" s="44"/>
      <c r="K27" s="44">
        <v>976</v>
      </c>
      <c r="L27" s="27"/>
      <c r="M27" s="27"/>
    </row>
    <row r="28" spans="1:13" s="1" customFormat="1" ht="9" customHeight="1">
      <c r="A28" s="85" t="s">
        <v>23</v>
      </c>
      <c r="B28" s="53" t="s">
        <v>68</v>
      </c>
      <c r="C28" s="94" t="s">
        <v>488</v>
      </c>
      <c r="D28" s="44">
        <v>12236</v>
      </c>
      <c r="E28" s="44">
        <v>21289</v>
      </c>
      <c r="F28" s="44">
        <v>2752</v>
      </c>
      <c r="G28" s="44">
        <v>36277</v>
      </c>
      <c r="H28" s="44"/>
      <c r="I28" s="44">
        <v>56915</v>
      </c>
      <c r="J28" s="44"/>
      <c r="K28" s="44">
        <v>93192</v>
      </c>
      <c r="L28" s="27"/>
      <c r="M28" s="27"/>
    </row>
    <row r="29" spans="1:13" s="1" customFormat="1" ht="9" customHeight="1">
      <c r="A29" s="85" t="s">
        <v>24</v>
      </c>
      <c r="B29" s="53" t="s">
        <v>69</v>
      </c>
      <c r="C29" s="94" t="s">
        <v>489</v>
      </c>
      <c r="D29" s="44">
        <v>16547</v>
      </c>
      <c r="E29" s="44">
        <v>17682</v>
      </c>
      <c r="F29" s="44">
        <v>8362</v>
      </c>
      <c r="G29" s="44">
        <v>42591</v>
      </c>
      <c r="H29" s="44"/>
      <c r="I29" s="44">
        <v>1387</v>
      </c>
      <c r="J29" s="44"/>
      <c r="K29" s="44">
        <v>43978</v>
      </c>
      <c r="L29" s="27"/>
      <c r="M29" s="27"/>
    </row>
    <row r="30" spans="1:13" s="1" customFormat="1" ht="9" customHeight="1">
      <c r="A30" s="85" t="s">
        <v>25</v>
      </c>
      <c r="B30" s="53" t="s">
        <v>70</v>
      </c>
      <c r="C30" s="94" t="s">
        <v>490</v>
      </c>
      <c r="D30" s="44">
        <v>44277</v>
      </c>
      <c r="E30" s="44">
        <v>20981</v>
      </c>
      <c r="F30" s="44">
        <v>6939</v>
      </c>
      <c r="G30" s="44">
        <v>72197</v>
      </c>
      <c r="H30" s="44"/>
      <c r="I30" s="44">
        <v>1851</v>
      </c>
      <c r="J30" s="44"/>
      <c r="K30" s="44">
        <v>74048</v>
      </c>
      <c r="L30" s="27"/>
      <c r="M30" s="27"/>
    </row>
    <row r="31" spans="1:13" s="1" customFormat="1" ht="9" customHeight="1">
      <c r="A31" s="85" t="s">
        <v>26</v>
      </c>
      <c r="B31" s="53" t="s">
        <v>71</v>
      </c>
      <c r="C31" s="94" t="s">
        <v>491</v>
      </c>
      <c r="D31" s="44">
        <v>163</v>
      </c>
      <c r="E31" s="44">
        <v>120</v>
      </c>
      <c r="F31" s="44">
        <v>145</v>
      </c>
      <c r="G31" s="44">
        <v>428</v>
      </c>
      <c r="H31" s="44"/>
      <c r="I31" s="44">
        <v>63</v>
      </c>
      <c r="J31" s="44"/>
      <c r="K31" s="44">
        <v>491</v>
      </c>
      <c r="L31" s="27"/>
      <c r="M31" s="27"/>
    </row>
    <row r="32" spans="1:13" s="1" customFormat="1" ht="18" customHeight="1">
      <c r="A32" s="85" t="s">
        <v>110</v>
      </c>
      <c r="B32" s="53" t="s">
        <v>72</v>
      </c>
      <c r="C32" s="94" t="s">
        <v>520</v>
      </c>
      <c r="D32" s="44">
        <v>16459</v>
      </c>
      <c r="E32" s="44">
        <v>4985</v>
      </c>
      <c r="F32" s="44">
        <v>2095</v>
      </c>
      <c r="G32" s="44">
        <v>23539</v>
      </c>
      <c r="H32" s="44"/>
      <c r="I32" s="44">
        <v>1530</v>
      </c>
      <c r="J32" s="44"/>
      <c r="K32" s="44">
        <v>25069</v>
      </c>
      <c r="L32" s="27"/>
      <c r="M32" s="27"/>
    </row>
    <row r="33" spans="1:13" s="1" customFormat="1" ht="9" customHeight="1">
      <c r="A33" s="85" t="s">
        <v>27</v>
      </c>
      <c r="B33" s="53" t="s">
        <v>73</v>
      </c>
      <c r="C33" s="94" t="s">
        <v>521</v>
      </c>
      <c r="D33" s="44">
        <v>2753</v>
      </c>
      <c r="E33" s="44">
        <v>685</v>
      </c>
      <c r="F33" s="44">
        <v>206</v>
      </c>
      <c r="G33" s="44">
        <v>3644</v>
      </c>
      <c r="H33" s="44"/>
      <c r="I33" s="44">
        <v>400</v>
      </c>
      <c r="J33" s="44"/>
      <c r="K33" s="44">
        <v>4044</v>
      </c>
      <c r="L33" s="27"/>
      <c r="M33" s="27"/>
    </row>
    <row r="34" spans="1:13" s="1" customFormat="1" ht="9" customHeight="1">
      <c r="A34" s="85" t="s">
        <v>28</v>
      </c>
      <c r="B34" s="53" t="s">
        <v>74</v>
      </c>
      <c r="C34" s="94" t="s">
        <v>492</v>
      </c>
      <c r="D34" s="44">
        <v>2627</v>
      </c>
      <c r="E34" s="44">
        <v>1554</v>
      </c>
      <c r="F34" s="44">
        <v>402</v>
      </c>
      <c r="G34" s="44">
        <v>4583</v>
      </c>
      <c r="H34" s="44"/>
      <c r="I34" s="44">
        <v>2332</v>
      </c>
      <c r="J34" s="44"/>
      <c r="K34" s="44">
        <v>6915</v>
      </c>
      <c r="L34" s="27"/>
      <c r="M34" s="27"/>
    </row>
    <row r="35" spans="1:13" s="1" customFormat="1" ht="9" customHeight="1">
      <c r="A35" s="85" t="s">
        <v>29</v>
      </c>
      <c r="B35" s="53" t="s">
        <v>75</v>
      </c>
      <c r="C35" s="94" t="s">
        <v>493</v>
      </c>
      <c r="D35" s="44">
        <v>1210</v>
      </c>
      <c r="E35" s="44">
        <v>274</v>
      </c>
      <c r="F35" s="44">
        <v>454</v>
      </c>
      <c r="G35" s="44">
        <v>1938</v>
      </c>
      <c r="H35" s="44"/>
      <c r="I35" s="44">
        <v>147</v>
      </c>
      <c r="J35" s="44"/>
      <c r="K35" s="44">
        <v>2085</v>
      </c>
      <c r="L35" s="27"/>
      <c r="M35" s="27"/>
    </row>
    <row r="36" spans="1:13" s="1" customFormat="1" ht="9" customHeight="1">
      <c r="A36" s="85" t="s">
        <v>30</v>
      </c>
      <c r="B36" s="53" t="s">
        <v>76</v>
      </c>
      <c r="C36" s="94" t="s">
        <v>494</v>
      </c>
      <c r="D36" s="44">
        <v>506</v>
      </c>
      <c r="E36" s="44">
        <v>521</v>
      </c>
      <c r="F36" s="44">
        <v>111</v>
      </c>
      <c r="G36" s="44">
        <v>1138</v>
      </c>
      <c r="H36" s="44"/>
      <c r="I36" s="44">
        <v>60</v>
      </c>
      <c r="J36" s="44"/>
      <c r="K36" s="44">
        <v>1198</v>
      </c>
      <c r="L36" s="27"/>
      <c r="M36" s="27"/>
    </row>
    <row r="37" spans="1:13" s="1" customFormat="1" ht="9" customHeight="1">
      <c r="A37" s="85" t="s">
        <v>31</v>
      </c>
      <c r="B37" s="53" t="s">
        <v>77</v>
      </c>
      <c r="C37" s="94" t="s">
        <v>495</v>
      </c>
      <c r="D37" s="44">
        <v>3572</v>
      </c>
      <c r="E37" s="44">
        <v>1024</v>
      </c>
      <c r="F37" s="44">
        <v>174</v>
      </c>
      <c r="G37" s="44">
        <v>4770</v>
      </c>
      <c r="H37" s="44"/>
      <c r="I37" s="44">
        <v>1041</v>
      </c>
      <c r="J37" s="44"/>
      <c r="K37" s="44">
        <v>5811</v>
      </c>
      <c r="L37" s="27"/>
      <c r="M37" s="27"/>
    </row>
    <row r="38" spans="1:13" s="1" customFormat="1" ht="9" customHeight="1">
      <c r="A38" s="85" t="s">
        <v>32</v>
      </c>
      <c r="B38" s="53" t="s">
        <v>78</v>
      </c>
      <c r="C38" s="94" t="s">
        <v>522</v>
      </c>
      <c r="D38" s="44">
        <v>5597</v>
      </c>
      <c r="E38" s="44">
        <v>1542</v>
      </c>
      <c r="F38" s="44">
        <v>1357</v>
      </c>
      <c r="G38" s="44">
        <v>8496</v>
      </c>
      <c r="H38" s="44"/>
      <c r="I38" s="44">
        <v>143</v>
      </c>
      <c r="J38" s="44"/>
      <c r="K38" s="44">
        <v>8639</v>
      </c>
      <c r="L38" s="27"/>
      <c r="M38" s="27"/>
    </row>
    <row r="39" spans="1:13" s="1" customFormat="1" ht="9" customHeight="1">
      <c r="A39" s="85" t="s">
        <v>33</v>
      </c>
      <c r="B39" s="53" t="s">
        <v>79</v>
      </c>
      <c r="C39" s="94" t="s">
        <v>497</v>
      </c>
      <c r="D39" s="44">
        <v>2297</v>
      </c>
      <c r="E39" s="44">
        <v>452</v>
      </c>
      <c r="F39" s="44">
        <v>462</v>
      </c>
      <c r="G39" s="44">
        <v>3211</v>
      </c>
      <c r="H39" s="44"/>
      <c r="I39" s="44">
        <v>643</v>
      </c>
      <c r="J39" s="44"/>
      <c r="K39" s="44">
        <v>3854</v>
      </c>
      <c r="L39" s="27"/>
      <c r="M39" s="27"/>
    </row>
    <row r="40" spans="1:13" s="1" customFormat="1" ht="9" customHeight="1">
      <c r="A40" s="85" t="s">
        <v>34</v>
      </c>
      <c r="B40" s="53" t="s">
        <v>80</v>
      </c>
      <c r="C40" s="94" t="s">
        <v>498</v>
      </c>
      <c r="D40" s="44">
        <v>19980</v>
      </c>
      <c r="E40" s="44">
        <v>10095</v>
      </c>
      <c r="F40" s="44">
        <v>1658</v>
      </c>
      <c r="G40" s="44">
        <v>31733</v>
      </c>
      <c r="H40" s="44"/>
      <c r="I40" s="44">
        <v>792</v>
      </c>
      <c r="J40" s="44"/>
      <c r="K40" s="44">
        <v>32525</v>
      </c>
      <c r="L40" s="27"/>
      <c r="M40" s="27"/>
    </row>
    <row r="41" spans="1:13" s="1" customFormat="1" ht="9" customHeight="1">
      <c r="A41" s="85" t="s">
        <v>35</v>
      </c>
      <c r="B41" s="53" t="s">
        <v>81</v>
      </c>
      <c r="C41" s="94" t="s">
        <v>499</v>
      </c>
      <c r="D41" s="44">
        <v>20673</v>
      </c>
      <c r="E41" s="44">
        <v>4893</v>
      </c>
      <c r="F41" s="44">
        <v>4226</v>
      </c>
      <c r="G41" s="44">
        <v>29792</v>
      </c>
      <c r="H41" s="44"/>
      <c r="I41" s="44">
        <v>611</v>
      </c>
      <c r="J41" s="44"/>
      <c r="K41" s="44">
        <v>30403</v>
      </c>
      <c r="L41" s="27"/>
      <c r="M41" s="27"/>
    </row>
    <row r="42" spans="1:13" s="1" customFormat="1" ht="9" customHeight="1">
      <c r="A42" s="85" t="s">
        <v>36</v>
      </c>
      <c r="B42" s="53" t="s">
        <v>82</v>
      </c>
      <c r="C42" s="94" t="s">
        <v>500</v>
      </c>
      <c r="D42" s="44">
        <v>5900</v>
      </c>
      <c r="E42" s="44">
        <v>2093</v>
      </c>
      <c r="F42" s="44">
        <v>241</v>
      </c>
      <c r="G42" s="44">
        <v>8234</v>
      </c>
      <c r="H42" s="44"/>
      <c r="I42" s="44">
        <v>146</v>
      </c>
      <c r="J42" s="44"/>
      <c r="K42" s="44">
        <v>8380</v>
      </c>
      <c r="L42" s="27"/>
      <c r="M42" s="27"/>
    </row>
    <row r="43" spans="1:13" s="1" customFormat="1" ht="9" customHeight="1">
      <c r="A43" s="85" t="s">
        <v>37</v>
      </c>
      <c r="B43" s="53" t="s">
        <v>83</v>
      </c>
      <c r="C43" s="94" t="s">
        <v>501</v>
      </c>
      <c r="D43" s="44">
        <v>3480</v>
      </c>
      <c r="E43" s="44">
        <v>1052</v>
      </c>
      <c r="F43" s="44">
        <v>880</v>
      </c>
      <c r="G43" s="44">
        <v>5412</v>
      </c>
      <c r="H43" s="44"/>
      <c r="I43" s="44">
        <v>15</v>
      </c>
      <c r="J43" s="44"/>
      <c r="K43" s="44">
        <v>5427</v>
      </c>
      <c r="L43" s="27"/>
      <c r="M43" s="27"/>
    </row>
    <row r="44" spans="1:13" s="1" customFormat="1" ht="9" customHeight="1">
      <c r="A44" s="85" t="s">
        <v>38</v>
      </c>
      <c r="B44" s="53" t="s">
        <v>84</v>
      </c>
      <c r="C44" s="94" t="s">
        <v>85</v>
      </c>
      <c r="D44" s="44">
        <v>698</v>
      </c>
      <c r="E44" s="44">
        <v>576</v>
      </c>
      <c r="F44" s="44">
        <v>79</v>
      </c>
      <c r="G44" s="44">
        <v>1353</v>
      </c>
      <c r="H44" s="44"/>
      <c r="I44" s="44">
        <v>26</v>
      </c>
      <c r="J44" s="44"/>
      <c r="K44" s="44">
        <v>1379</v>
      </c>
      <c r="L44" s="27"/>
      <c r="M44" s="27"/>
    </row>
    <row r="45" spans="1:13" s="1" customFormat="1" ht="9" customHeight="1">
      <c r="A45" s="85" t="s">
        <v>39</v>
      </c>
      <c r="B45" s="53" t="s">
        <v>86</v>
      </c>
      <c r="C45" s="94" t="s">
        <v>502</v>
      </c>
      <c r="D45" s="44">
        <v>3626</v>
      </c>
      <c r="E45" s="44">
        <v>180</v>
      </c>
      <c r="F45" s="44">
        <v>1139</v>
      </c>
      <c r="G45" s="44">
        <v>4945</v>
      </c>
      <c r="H45" s="44"/>
      <c r="I45" s="44">
        <v>195</v>
      </c>
      <c r="J45" s="44"/>
      <c r="K45" s="44">
        <v>5140</v>
      </c>
      <c r="L45" s="27"/>
      <c r="M45" s="27"/>
    </row>
    <row r="46" spans="1:13" s="1" customFormat="1" ht="9" customHeight="1">
      <c r="A46" s="85" t="s">
        <v>40</v>
      </c>
      <c r="B46" s="53" t="s">
        <v>87</v>
      </c>
      <c r="C46" s="94" t="s">
        <v>503</v>
      </c>
      <c r="D46" s="44">
        <v>4559</v>
      </c>
      <c r="E46" s="44">
        <v>2044</v>
      </c>
      <c r="F46" s="44">
        <v>981</v>
      </c>
      <c r="G46" s="44">
        <v>7584</v>
      </c>
      <c r="H46" s="44"/>
      <c r="I46" s="44">
        <v>742</v>
      </c>
      <c r="J46" s="44"/>
      <c r="K46" s="44">
        <v>8326</v>
      </c>
      <c r="L46" s="27"/>
      <c r="M46" s="27"/>
    </row>
    <row r="47" spans="1:13" s="1" customFormat="1" ht="9" customHeight="1">
      <c r="A47" s="92" t="s">
        <v>0</v>
      </c>
      <c r="B47" s="53"/>
      <c r="C47" s="321"/>
      <c r="D47" s="93">
        <v>436540</v>
      </c>
      <c r="E47" s="93">
        <v>179901</v>
      </c>
      <c r="F47" s="93">
        <v>96329</v>
      </c>
      <c r="G47" s="93">
        <v>712770</v>
      </c>
      <c r="H47" s="93"/>
      <c r="I47" s="93">
        <v>85736</v>
      </c>
      <c r="J47" s="93"/>
      <c r="K47" s="93">
        <v>798506</v>
      </c>
      <c r="L47" s="27"/>
      <c r="M47" s="27"/>
    </row>
    <row r="48" spans="1:13" s="1" customFormat="1" ht="9" customHeight="1">
      <c r="A48" s="86"/>
      <c r="B48" s="54"/>
      <c r="C48" s="86"/>
      <c r="D48" s="47"/>
      <c r="E48" s="47"/>
      <c r="F48" s="47"/>
      <c r="G48" s="47"/>
      <c r="H48" s="47"/>
      <c r="I48" s="47"/>
      <c r="J48" s="47"/>
      <c r="K48" s="45"/>
      <c r="L48" s="27"/>
      <c r="M48" s="27"/>
    </row>
    <row r="49" spans="1:12" ht="9" customHeight="1">
      <c r="A49" s="13"/>
      <c r="B49" s="26"/>
      <c r="C49" s="26"/>
      <c r="D49" s="26"/>
      <c r="E49" s="26"/>
      <c r="F49" s="26"/>
      <c r="G49" s="30"/>
      <c r="H49" s="30"/>
      <c r="I49" s="30"/>
      <c r="J49" s="30"/>
      <c r="K49" s="21"/>
      <c r="L49" s="31"/>
    </row>
  </sheetData>
  <mergeCells count="3">
    <mergeCell ref="D4:G4"/>
    <mergeCell ref="I4:I6"/>
    <mergeCell ref="K4:K6"/>
  </mergeCells>
  <printOptions horizontalCentered="1"/>
  <pageMargins left="1.1811023622047245" right="1.1811023622047245" top="1.1811023622047245" bottom="1.5748031496062993" header="0" footer="1.2598425196850394"/>
  <pageSetup firstPageNumber="181" useFirstPageNumber="1" horizontalDpi="300" verticalDpi="300" orientation="portrait" paperSize="9" r:id="rId2"/>
  <headerFooter alignWithMargins="0">
    <oddFooter>&amp;C&amp;9 181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28">
      <selection activeCell="K33" sqref="K32:K33"/>
    </sheetView>
  </sheetViews>
  <sheetFormatPr defaultColWidth="9.140625" defaultRowHeight="12.75"/>
  <cols>
    <col min="1" max="1" width="14.57421875" style="18" customWidth="1"/>
    <col min="2" max="2" width="7.7109375" style="18" customWidth="1"/>
    <col min="3" max="3" width="19.7109375" style="18" customWidth="1"/>
    <col min="4" max="5" width="8.140625" style="18" bestFit="1" customWidth="1"/>
    <col min="6" max="6" width="9.140625" style="18" customWidth="1"/>
    <col min="7" max="8" width="8.28125" style="18" customWidth="1"/>
    <col min="9" max="9" width="1.7109375" style="18" customWidth="1"/>
    <col min="10" max="10" width="5.57421875" style="18" customWidth="1"/>
    <col min="11" max="16384" width="8.8515625" style="18" customWidth="1"/>
  </cols>
  <sheetData>
    <row r="1" spans="1:8" ht="6" customHeight="1">
      <c r="A1" s="13"/>
      <c r="B1" s="13"/>
      <c r="C1" s="13"/>
      <c r="D1" s="13"/>
      <c r="E1" s="13"/>
      <c r="F1" s="13"/>
      <c r="G1" s="13"/>
      <c r="H1" s="13"/>
    </row>
    <row r="2" spans="1:8" ht="12" customHeight="1">
      <c r="A2" s="301" t="s">
        <v>581</v>
      </c>
      <c r="B2" s="13"/>
      <c r="C2" s="13"/>
      <c r="D2" s="13"/>
      <c r="E2" s="13"/>
      <c r="F2" s="13"/>
      <c r="G2" s="13"/>
      <c r="H2" s="13"/>
    </row>
    <row r="3" spans="1:9" s="1" customFormat="1" ht="6" customHeight="1">
      <c r="A3" s="60"/>
      <c r="B3" s="42"/>
      <c r="C3" s="61"/>
      <c r="D3" s="61"/>
      <c r="E3" s="61"/>
      <c r="F3" s="61"/>
      <c r="G3" s="61"/>
      <c r="H3" s="61"/>
      <c r="I3" s="43"/>
    </row>
    <row r="4" spans="1:10" s="7" customFormat="1" ht="15" customHeight="1">
      <c r="A4" s="376" t="s">
        <v>41</v>
      </c>
      <c r="B4" s="377" t="s">
        <v>578</v>
      </c>
      <c r="C4" s="377" t="s">
        <v>94</v>
      </c>
      <c r="D4" s="375" t="s">
        <v>89</v>
      </c>
      <c r="E4" s="375"/>
      <c r="F4" s="375"/>
      <c r="G4" s="375" t="s">
        <v>88</v>
      </c>
      <c r="H4" s="375"/>
      <c r="I4" s="375"/>
      <c r="J4" s="6"/>
    </row>
    <row r="5" spans="1:10" s="7" customFormat="1" ht="9.75">
      <c r="A5" s="361"/>
      <c r="B5" s="378"/>
      <c r="C5" s="378"/>
      <c r="D5" s="40">
        <v>1995</v>
      </c>
      <c r="E5" s="40">
        <v>1997</v>
      </c>
      <c r="F5" s="40">
        <v>1999</v>
      </c>
      <c r="G5" s="78" t="s">
        <v>112</v>
      </c>
      <c r="H5" s="350" t="s">
        <v>558</v>
      </c>
      <c r="I5" s="351"/>
      <c r="J5" s="6"/>
    </row>
    <row r="6" spans="4:10" ht="6" customHeight="1">
      <c r="D6" s="26"/>
      <c r="E6" s="26"/>
      <c r="F6" s="26"/>
      <c r="G6" s="13"/>
      <c r="H6" s="13"/>
      <c r="I6" s="13"/>
      <c r="J6" s="13"/>
    </row>
    <row r="7" spans="1:10" ht="36.75" customHeight="1">
      <c r="A7" s="94" t="s">
        <v>3</v>
      </c>
      <c r="B7" s="18" t="s">
        <v>46</v>
      </c>
      <c r="C7" s="94" t="s">
        <v>114</v>
      </c>
      <c r="D7" s="56">
        <v>15391</v>
      </c>
      <c r="E7" s="56">
        <v>11704</v>
      </c>
      <c r="F7" s="56">
        <v>12412</v>
      </c>
      <c r="G7" s="59">
        <v>-23.95555844324605</v>
      </c>
      <c r="H7" s="59">
        <v>6.049213943950786</v>
      </c>
      <c r="I7" s="59"/>
      <c r="J7" s="31"/>
    </row>
    <row r="8" spans="1:10" ht="27" customHeight="1">
      <c r="A8" s="94" t="s">
        <v>4</v>
      </c>
      <c r="B8" s="18" t="s">
        <v>48</v>
      </c>
      <c r="C8" s="94" t="s">
        <v>560</v>
      </c>
      <c r="D8" s="56">
        <v>132429</v>
      </c>
      <c r="E8" s="56">
        <v>138137</v>
      </c>
      <c r="F8" s="56">
        <v>123120</v>
      </c>
      <c r="G8" s="59">
        <v>4.310234163211986</v>
      </c>
      <c r="H8" s="59">
        <v>-10.871091742255876</v>
      </c>
      <c r="I8" s="59"/>
      <c r="J8" s="31"/>
    </row>
    <row r="9" spans="1:10" ht="36.75" customHeight="1">
      <c r="A9" s="94" t="s">
        <v>5</v>
      </c>
      <c r="B9" s="18" t="s">
        <v>49</v>
      </c>
      <c r="C9" s="94" t="s">
        <v>115</v>
      </c>
      <c r="D9" s="56">
        <v>14574</v>
      </c>
      <c r="E9" s="56">
        <v>13920</v>
      </c>
      <c r="F9" s="56">
        <v>16635</v>
      </c>
      <c r="G9" s="59">
        <v>-4.487443392342528</v>
      </c>
      <c r="H9" s="59">
        <v>19.504310344827587</v>
      </c>
      <c r="I9" s="59"/>
      <c r="J9" s="31"/>
    </row>
    <row r="10" spans="1:10" ht="18" customHeight="1">
      <c r="A10" s="94" t="s">
        <v>6</v>
      </c>
      <c r="B10" s="18" t="s">
        <v>51</v>
      </c>
      <c r="C10" s="94" t="s">
        <v>561</v>
      </c>
      <c r="D10" s="56">
        <v>17745</v>
      </c>
      <c r="E10" s="56">
        <v>18226</v>
      </c>
      <c r="F10" s="56">
        <v>18543</v>
      </c>
      <c r="G10" s="59">
        <v>2.7106227106227108</v>
      </c>
      <c r="H10" s="59">
        <v>1.7392735652364752</v>
      </c>
      <c r="I10" s="59"/>
      <c r="J10" s="31"/>
    </row>
    <row r="11" spans="1:10" ht="18" customHeight="1">
      <c r="A11" s="94" t="s">
        <v>7</v>
      </c>
      <c r="B11" s="18" t="s">
        <v>52</v>
      </c>
      <c r="C11" s="94" t="s">
        <v>562</v>
      </c>
      <c r="D11" s="56">
        <v>120582</v>
      </c>
      <c r="E11" s="56">
        <v>111556</v>
      </c>
      <c r="F11" s="56">
        <v>104895</v>
      </c>
      <c r="G11" s="59">
        <v>-7.4853626577764505</v>
      </c>
      <c r="H11" s="59">
        <v>-5.970992147441644</v>
      </c>
      <c r="I11" s="59"/>
      <c r="J11" s="31"/>
    </row>
    <row r="12" spans="1:10" ht="27" customHeight="1">
      <c r="A12" s="94" t="s">
        <v>8</v>
      </c>
      <c r="B12" s="18" t="s">
        <v>53</v>
      </c>
      <c r="C12" s="94" t="s">
        <v>563</v>
      </c>
      <c r="D12" s="56">
        <v>484070</v>
      </c>
      <c r="E12" s="56">
        <v>436971</v>
      </c>
      <c r="F12" s="56">
        <v>414222</v>
      </c>
      <c r="G12" s="59">
        <v>-9.72979114590865</v>
      </c>
      <c r="H12" s="59">
        <v>-5.206066306459697</v>
      </c>
      <c r="I12" s="59"/>
      <c r="J12" s="31"/>
    </row>
    <row r="13" spans="1:10" ht="27" customHeight="1">
      <c r="A13" s="94" t="s">
        <v>9</v>
      </c>
      <c r="B13" s="18" t="s">
        <v>54</v>
      </c>
      <c r="C13" s="94" t="s">
        <v>564</v>
      </c>
      <c r="D13" s="56">
        <v>1057265</v>
      </c>
      <c r="E13" s="56">
        <v>973038</v>
      </c>
      <c r="F13" s="56">
        <v>1034890</v>
      </c>
      <c r="G13" s="59">
        <v>-7.966498465380013</v>
      </c>
      <c r="H13" s="59">
        <v>6.356586279261448</v>
      </c>
      <c r="I13" s="59"/>
      <c r="J13" s="31"/>
    </row>
    <row r="14" spans="1:10" ht="17.25" customHeight="1">
      <c r="A14" s="94" t="s">
        <v>10</v>
      </c>
      <c r="B14" s="18" t="s">
        <v>55</v>
      </c>
      <c r="C14" s="94" t="s">
        <v>565</v>
      </c>
      <c r="D14" s="56">
        <v>5561</v>
      </c>
      <c r="E14" s="56">
        <v>6086</v>
      </c>
      <c r="F14" s="56">
        <v>6483</v>
      </c>
      <c r="G14" s="59">
        <v>9.440748066894443</v>
      </c>
      <c r="H14" s="59">
        <v>6.523167926388432</v>
      </c>
      <c r="I14" s="59"/>
      <c r="J14" s="31"/>
    </row>
    <row r="15" spans="1:10" ht="18" customHeight="1">
      <c r="A15" s="94" t="s">
        <v>11</v>
      </c>
      <c r="B15" s="18" t="s">
        <v>56</v>
      </c>
      <c r="C15" s="94" t="s">
        <v>566</v>
      </c>
      <c r="D15" s="56">
        <v>8734</v>
      </c>
      <c r="E15" s="56">
        <v>8914</v>
      </c>
      <c r="F15" s="56">
        <v>8515</v>
      </c>
      <c r="G15" s="59">
        <v>2.060911380810625</v>
      </c>
      <c r="H15" s="59">
        <v>-4.476105003365492</v>
      </c>
      <c r="I15" s="59"/>
      <c r="J15" s="31"/>
    </row>
    <row r="16" spans="1:10" ht="27" customHeight="1">
      <c r="A16" s="94" t="s">
        <v>12</v>
      </c>
      <c r="B16" s="18" t="s">
        <v>57</v>
      </c>
      <c r="C16" s="94" t="s">
        <v>567</v>
      </c>
      <c r="D16" s="56">
        <v>66048</v>
      </c>
      <c r="E16" s="56">
        <v>67470</v>
      </c>
      <c r="F16" s="56">
        <v>65423</v>
      </c>
      <c r="G16" s="59">
        <v>2.1529796511627906</v>
      </c>
      <c r="H16" s="59">
        <v>-3.0339410108196234</v>
      </c>
      <c r="I16" s="59"/>
      <c r="J16" s="31"/>
    </row>
    <row r="17" spans="1:10" ht="18" customHeight="1">
      <c r="A17" s="94" t="s">
        <v>13</v>
      </c>
      <c r="B17" s="18" t="s">
        <v>58</v>
      </c>
      <c r="C17" s="94" t="s">
        <v>568</v>
      </c>
      <c r="D17" s="56" t="s">
        <v>1</v>
      </c>
      <c r="E17" s="56" t="s">
        <v>1</v>
      </c>
      <c r="F17" s="56" t="s">
        <v>1</v>
      </c>
      <c r="G17" s="97" t="s">
        <v>1</v>
      </c>
      <c r="H17" s="97" t="s">
        <v>1</v>
      </c>
      <c r="I17" s="97"/>
      <c r="J17" s="31"/>
    </row>
    <row r="18" spans="1:10" ht="27" customHeight="1">
      <c r="A18" s="94" t="s">
        <v>14</v>
      </c>
      <c r="B18" s="18" t="s">
        <v>59</v>
      </c>
      <c r="C18" s="94" t="s">
        <v>569</v>
      </c>
      <c r="D18" s="56">
        <v>55718</v>
      </c>
      <c r="E18" s="56">
        <v>57204</v>
      </c>
      <c r="F18" s="56">
        <v>58068</v>
      </c>
      <c r="G18" s="59">
        <v>2.6670016870670157</v>
      </c>
      <c r="H18" s="59">
        <v>1.5103838892385149</v>
      </c>
      <c r="I18" s="59"/>
      <c r="J18" s="31"/>
    </row>
    <row r="19" spans="1:10" ht="18" customHeight="1">
      <c r="A19" s="94" t="s">
        <v>15</v>
      </c>
      <c r="B19" s="18" t="s">
        <v>60</v>
      </c>
      <c r="C19" s="94" t="s">
        <v>570</v>
      </c>
      <c r="D19" s="56">
        <v>44312</v>
      </c>
      <c r="E19" s="56">
        <v>50406</v>
      </c>
      <c r="F19" s="56">
        <v>56040</v>
      </c>
      <c r="G19" s="59">
        <v>13.752482397544682</v>
      </c>
      <c r="H19" s="59">
        <v>11.177240804666111</v>
      </c>
      <c r="I19" s="59"/>
      <c r="J19" s="31"/>
    </row>
    <row r="20" spans="1:10" ht="27" customHeight="1">
      <c r="A20" s="94" t="s">
        <v>16</v>
      </c>
      <c r="B20" s="18" t="s">
        <v>61</v>
      </c>
      <c r="C20" s="94" t="s">
        <v>571</v>
      </c>
      <c r="D20" s="56">
        <v>15619</v>
      </c>
      <c r="E20" s="56">
        <v>18674</v>
      </c>
      <c r="F20" s="56">
        <v>31242</v>
      </c>
      <c r="G20" s="59">
        <v>19.559510852167232</v>
      </c>
      <c r="H20" s="59">
        <v>67.30213130555853</v>
      </c>
      <c r="I20" s="59"/>
      <c r="J20" s="31"/>
    </row>
    <row r="21" spans="1:10" ht="18" customHeight="1">
      <c r="A21" s="94" t="s">
        <v>17</v>
      </c>
      <c r="B21" s="18" t="s">
        <v>62</v>
      </c>
      <c r="C21" s="94" t="s">
        <v>572</v>
      </c>
      <c r="D21" s="56">
        <v>11333</v>
      </c>
      <c r="E21" s="56">
        <v>11850</v>
      </c>
      <c r="F21" s="56">
        <v>12891</v>
      </c>
      <c r="G21" s="59">
        <v>4.561898879378806</v>
      </c>
      <c r="H21" s="59">
        <v>8.784810126582277</v>
      </c>
      <c r="I21" s="59"/>
      <c r="J21" s="31"/>
    </row>
    <row r="22" spans="1:10" ht="27" customHeight="1">
      <c r="A22" s="94" t="s">
        <v>18</v>
      </c>
      <c r="B22" s="18" t="s">
        <v>63</v>
      </c>
      <c r="C22" s="94" t="s">
        <v>573</v>
      </c>
      <c r="D22" s="56">
        <v>23754</v>
      </c>
      <c r="E22" s="56">
        <v>31864</v>
      </c>
      <c r="F22" s="56">
        <v>31963</v>
      </c>
      <c r="G22" s="59">
        <v>34.14161825376779</v>
      </c>
      <c r="H22" s="59">
        <v>0.31069545568666834</v>
      </c>
      <c r="I22" s="59"/>
      <c r="J22" s="31"/>
    </row>
    <row r="23" spans="1:10" ht="27" customHeight="1">
      <c r="A23" s="94" t="s">
        <v>19</v>
      </c>
      <c r="B23" s="18" t="s">
        <v>64</v>
      </c>
      <c r="C23" s="94" t="s">
        <v>574</v>
      </c>
      <c r="D23" s="56">
        <v>128100</v>
      </c>
      <c r="E23" s="56">
        <v>125907</v>
      </c>
      <c r="F23" s="56">
        <v>109612</v>
      </c>
      <c r="G23" s="59">
        <v>-1.711943793911007</v>
      </c>
      <c r="H23" s="59">
        <v>-12.942092179148101</v>
      </c>
      <c r="I23" s="59"/>
      <c r="J23" s="31"/>
    </row>
    <row r="24" spans="1:10" ht="18" customHeight="1">
      <c r="A24" s="94" t="s">
        <v>20</v>
      </c>
      <c r="B24" s="18" t="s">
        <v>65</v>
      </c>
      <c r="C24" s="94" t="s">
        <v>575</v>
      </c>
      <c r="D24" s="56" t="s">
        <v>1</v>
      </c>
      <c r="E24" s="56" t="s">
        <v>1</v>
      </c>
      <c r="F24" s="56" t="s">
        <v>1</v>
      </c>
      <c r="G24" s="97" t="s">
        <v>1</v>
      </c>
      <c r="H24" s="97" t="s">
        <v>1</v>
      </c>
      <c r="I24" s="97"/>
      <c r="J24" s="31"/>
    </row>
    <row r="25" spans="1:10" ht="27" customHeight="1">
      <c r="A25" s="94" t="s">
        <v>21</v>
      </c>
      <c r="B25" s="18" t="s">
        <v>66</v>
      </c>
      <c r="C25" s="94" t="s">
        <v>576</v>
      </c>
      <c r="D25" s="56">
        <v>62911</v>
      </c>
      <c r="E25" s="56">
        <v>71931</v>
      </c>
      <c r="F25" s="56">
        <v>84222</v>
      </c>
      <c r="G25" s="59">
        <v>14.337715184943809</v>
      </c>
      <c r="H25" s="59">
        <v>17.087208574884265</v>
      </c>
      <c r="I25" s="59"/>
      <c r="J25" s="32"/>
    </row>
    <row r="26" spans="1:9" ht="27" customHeight="1">
      <c r="A26" s="94" t="s">
        <v>22</v>
      </c>
      <c r="B26" s="18" t="s">
        <v>67</v>
      </c>
      <c r="C26" s="94" t="s">
        <v>577</v>
      </c>
      <c r="D26" s="56">
        <v>6823</v>
      </c>
      <c r="E26" s="56">
        <v>6585</v>
      </c>
      <c r="F26" s="56">
        <v>7072</v>
      </c>
      <c r="G26" s="59">
        <v>-3.4882016708192873</v>
      </c>
      <c r="H26" s="59">
        <v>7.395596051632499</v>
      </c>
      <c r="I26" s="59"/>
    </row>
    <row r="27" spans="1:9" ht="18" customHeight="1">
      <c r="A27" s="94" t="s">
        <v>23</v>
      </c>
      <c r="B27" s="18" t="s">
        <v>68</v>
      </c>
      <c r="C27" s="94" t="s">
        <v>116</v>
      </c>
      <c r="D27" s="56">
        <v>44178</v>
      </c>
      <c r="E27" s="56">
        <v>47428</v>
      </c>
      <c r="F27" s="56">
        <v>49402</v>
      </c>
      <c r="G27" s="59">
        <v>7.356602833989768</v>
      </c>
      <c r="H27" s="59">
        <v>4.162098338534199</v>
      </c>
      <c r="I27" s="59"/>
    </row>
    <row r="28" spans="1:9" ht="27" customHeight="1">
      <c r="A28" s="94" t="s">
        <v>24</v>
      </c>
      <c r="B28" s="18" t="s">
        <v>69</v>
      </c>
      <c r="C28" s="94" t="s">
        <v>117</v>
      </c>
      <c r="D28" s="56">
        <v>265544</v>
      </c>
      <c r="E28" s="56">
        <v>266247</v>
      </c>
      <c r="F28" s="56">
        <v>286589</v>
      </c>
      <c r="G28" s="59">
        <v>0.2647395535203205</v>
      </c>
      <c r="H28" s="59">
        <v>7.6402738810202555</v>
      </c>
      <c r="I28" s="59"/>
    </row>
    <row r="29" spans="1:9" ht="4.5" customHeight="1">
      <c r="A29" s="95"/>
      <c r="B29" s="43"/>
      <c r="C29" s="95"/>
      <c r="D29" s="101"/>
      <c r="E29" s="101"/>
      <c r="F29" s="43"/>
      <c r="G29" s="102"/>
      <c r="H29" s="102"/>
      <c r="I29" s="102"/>
    </row>
    <row r="31" ht="12.75">
      <c r="A31" s="301" t="s">
        <v>582</v>
      </c>
    </row>
    <row r="32" spans="2:10" ht="12" customHeight="1">
      <c r="B32" s="21"/>
      <c r="C32" s="13"/>
      <c r="D32" s="20"/>
      <c r="E32" s="20"/>
      <c r="F32" s="20"/>
      <c r="G32" s="20"/>
      <c r="H32" s="20"/>
      <c r="I32" s="1"/>
      <c r="J32" s="1"/>
    </row>
    <row r="33" spans="1:9" s="1" customFormat="1" ht="9" customHeight="1">
      <c r="A33" s="60"/>
      <c r="B33" s="42"/>
      <c r="C33" s="61"/>
      <c r="D33" s="61"/>
      <c r="E33" s="61"/>
      <c r="F33" s="61"/>
      <c r="G33" s="61"/>
      <c r="H33" s="61"/>
      <c r="I33" s="43"/>
    </row>
    <row r="34" spans="1:10" s="7" customFormat="1" ht="15" customHeight="1">
      <c r="A34" s="376" t="s">
        <v>41</v>
      </c>
      <c r="B34" s="377" t="s">
        <v>578</v>
      </c>
      <c r="C34" s="377" t="s">
        <v>94</v>
      </c>
      <c r="D34" s="375" t="s">
        <v>89</v>
      </c>
      <c r="E34" s="375"/>
      <c r="F34" s="375"/>
      <c r="G34" s="375" t="s">
        <v>88</v>
      </c>
      <c r="H34" s="375"/>
      <c r="I34" s="375"/>
      <c r="J34" s="6"/>
    </row>
    <row r="35" spans="1:10" s="7" customFormat="1" ht="9.75">
      <c r="A35" s="361"/>
      <c r="B35" s="378"/>
      <c r="C35" s="378"/>
      <c r="D35" s="40">
        <v>1995</v>
      </c>
      <c r="E35" s="40">
        <v>1997</v>
      </c>
      <c r="F35" s="40">
        <v>1999</v>
      </c>
      <c r="G35" s="78" t="s">
        <v>112</v>
      </c>
      <c r="H35" s="350" t="s">
        <v>558</v>
      </c>
      <c r="I35" s="351"/>
      <c r="J35" s="6"/>
    </row>
    <row r="36" spans="1:10" s="7" customFormat="1" ht="9.75">
      <c r="A36" s="302"/>
      <c r="B36" s="303"/>
      <c r="C36" s="303"/>
      <c r="D36" s="303"/>
      <c r="E36" s="303"/>
      <c r="F36" s="303"/>
      <c r="G36" s="304"/>
      <c r="H36" s="304"/>
      <c r="I36" s="304"/>
      <c r="J36" s="6"/>
    </row>
    <row r="37" spans="1:10" ht="18.75" customHeight="1">
      <c r="A37" s="18" t="s">
        <v>25</v>
      </c>
      <c r="B37" s="18" t="s">
        <v>70</v>
      </c>
      <c r="C37" s="94" t="s">
        <v>579</v>
      </c>
      <c r="D37" s="56">
        <v>186919</v>
      </c>
      <c r="E37" s="332">
        <v>210502</v>
      </c>
      <c r="F37" s="332">
        <v>202052</v>
      </c>
      <c r="G37" s="333">
        <v>12.616694932029382</v>
      </c>
      <c r="H37" s="333">
        <v>-4.014213641675614</v>
      </c>
      <c r="I37" s="13"/>
      <c r="J37" s="13"/>
    </row>
    <row r="38" spans="1:9" ht="18" customHeight="1">
      <c r="A38" s="94" t="s">
        <v>26</v>
      </c>
      <c r="B38" s="18" t="s">
        <v>71</v>
      </c>
      <c r="C38" s="94" t="s">
        <v>118</v>
      </c>
      <c r="D38" s="56">
        <v>897</v>
      </c>
      <c r="E38" s="334">
        <v>2045</v>
      </c>
      <c r="F38" s="332">
        <v>1794</v>
      </c>
      <c r="G38" s="333">
        <v>127.98216276477146</v>
      </c>
      <c r="H38" s="333">
        <v>-12.273838630806846</v>
      </c>
      <c r="I38" s="59"/>
    </row>
    <row r="39" spans="1:9" ht="27" customHeight="1">
      <c r="A39" s="94" t="s">
        <v>110</v>
      </c>
      <c r="B39" s="18" t="s">
        <v>72</v>
      </c>
      <c r="C39" s="94" t="s">
        <v>119</v>
      </c>
      <c r="D39" s="56">
        <v>334332</v>
      </c>
      <c r="E39" s="56">
        <v>307320</v>
      </c>
      <c r="F39" s="332">
        <v>272933</v>
      </c>
      <c r="G39" s="333">
        <v>-8.079394135171029</v>
      </c>
      <c r="H39" s="333">
        <v>-11.189314070024729</v>
      </c>
      <c r="I39" s="59"/>
    </row>
    <row r="40" spans="1:9" ht="27" customHeight="1">
      <c r="A40" s="94" t="s">
        <v>27</v>
      </c>
      <c r="B40" s="18" t="s">
        <v>73</v>
      </c>
      <c r="C40" s="94" t="s">
        <v>120</v>
      </c>
      <c r="D40" s="56">
        <v>4583</v>
      </c>
      <c r="E40" s="56">
        <v>5246</v>
      </c>
      <c r="F40" s="332">
        <v>5022</v>
      </c>
      <c r="G40" s="333">
        <v>14.466506655029457</v>
      </c>
      <c r="H40" s="333">
        <v>-4.269919939001144</v>
      </c>
      <c r="I40" s="59"/>
    </row>
    <row r="41" spans="1:9" ht="18" customHeight="1">
      <c r="A41" s="94" t="s">
        <v>28</v>
      </c>
      <c r="B41" s="18" t="s">
        <v>74</v>
      </c>
      <c r="C41" s="94" t="s">
        <v>121</v>
      </c>
      <c r="D41" s="56">
        <v>27582</v>
      </c>
      <c r="E41" s="56">
        <v>27505</v>
      </c>
      <c r="F41" s="332">
        <v>30677</v>
      </c>
      <c r="G41" s="333">
        <v>-0.27916757305489087</v>
      </c>
      <c r="H41" s="333">
        <v>11.53244864570078</v>
      </c>
      <c r="I41" s="59"/>
    </row>
    <row r="42" spans="1:9" ht="18" customHeight="1">
      <c r="A42" s="94" t="s">
        <v>29</v>
      </c>
      <c r="B42" s="18" t="s">
        <v>75</v>
      </c>
      <c r="C42" s="94" t="s">
        <v>122</v>
      </c>
      <c r="D42" s="56">
        <v>13449</v>
      </c>
      <c r="E42" s="56">
        <v>15909</v>
      </c>
      <c r="F42" s="332">
        <v>16387</v>
      </c>
      <c r="G42" s="333">
        <v>18.291322774927504</v>
      </c>
      <c r="H42" s="333">
        <v>3.0045885976491293</v>
      </c>
      <c r="I42" s="59"/>
    </row>
    <row r="43" spans="1:9" ht="18" customHeight="1">
      <c r="A43" s="94" t="s">
        <v>30</v>
      </c>
      <c r="B43" s="18" t="s">
        <v>76</v>
      </c>
      <c r="C43" s="94" t="s">
        <v>123</v>
      </c>
      <c r="D43" s="56">
        <v>4113</v>
      </c>
      <c r="E43" s="56">
        <v>1933</v>
      </c>
      <c r="F43" s="332">
        <v>1875</v>
      </c>
      <c r="G43" s="333">
        <v>-53.002674446875766</v>
      </c>
      <c r="H43" s="333">
        <v>-3.0005173305742368</v>
      </c>
      <c r="I43" s="59"/>
    </row>
    <row r="44" spans="1:9" ht="18" customHeight="1">
      <c r="A44" s="94" t="s">
        <v>31</v>
      </c>
      <c r="B44" s="18" t="s">
        <v>77</v>
      </c>
      <c r="C44" s="94" t="s">
        <v>124</v>
      </c>
      <c r="D44" s="56">
        <v>7602</v>
      </c>
      <c r="E44" s="56">
        <v>6200</v>
      </c>
      <c r="F44" s="332">
        <v>7567</v>
      </c>
      <c r="G44" s="333">
        <v>-18.442515127598</v>
      </c>
      <c r="H44" s="333">
        <v>22.048387096774196</v>
      </c>
      <c r="I44" s="59"/>
    </row>
    <row r="45" spans="1:9" ht="27" customHeight="1">
      <c r="A45" s="94" t="s">
        <v>32</v>
      </c>
      <c r="B45" s="18" t="s">
        <v>78</v>
      </c>
      <c r="C45" s="94" t="s">
        <v>125</v>
      </c>
      <c r="D45" s="56">
        <v>47642</v>
      </c>
      <c r="E45" s="56">
        <v>50025</v>
      </c>
      <c r="F45" s="332">
        <v>52770</v>
      </c>
      <c r="G45" s="333">
        <v>5.0018890894588806</v>
      </c>
      <c r="H45" s="333">
        <v>5.487256371814093</v>
      </c>
      <c r="I45" s="59"/>
    </row>
    <row r="46" spans="1:9" ht="27" customHeight="1">
      <c r="A46" s="94" t="s">
        <v>33</v>
      </c>
      <c r="B46" s="18" t="s">
        <v>79</v>
      </c>
      <c r="C46" s="94" t="s">
        <v>126</v>
      </c>
      <c r="D46" s="56">
        <v>13041</v>
      </c>
      <c r="E46" s="56">
        <v>13874</v>
      </c>
      <c r="F46" s="332">
        <v>14296</v>
      </c>
      <c r="G46" s="333">
        <v>6.387546967257113</v>
      </c>
      <c r="H46" s="333">
        <v>3.0416606602277643</v>
      </c>
      <c r="I46" s="59"/>
    </row>
    <row r="47" spans="1:9" ht="18" customHeight="1">
      <c r="A47" s="94" t="s">
        <v>34</v>
      </c>
      <c r="B47" s="18" t="s">
        <v>80</v>
      </c>
      <c r="C47" s="94" t="s">
        <v>127</v>
      </c>
      <c r="D47" s="56">
        <v>164784</v>
      </c>
      <c r="E47" s="56">
        <v>171528</v>
      </c>
      <c r="F47" s="332">
        <v>142068</v>
      </c>
      <c r="G47" s="333">
        <v>4.092630352461404</v>
      </c>
      <c r="H47" s="333">
        <v>-17.175038477682943</v>
      </c>
      <c r="I47" s="59"/>
    </row>
    <row r="48" spans="1:9" ht="18" customHeight="1">
      <c r="A48" s="94" t="s">
        <v>35</v>
      </c>
      <c r="B48" s="18" t="s">
        <v>81</v>
      </c>
      <c r="C48" s="94" t="s">
        <v>128</v>
      </c>
      <c r="D48" s="56">
        <v>186244</v>
      </c>
      <c r="E48" s="56">
        <v>178984</v>
      </c>
      <c r="F48" s="332">
        <v>171925</v>
      </c>
      <c r="G48" s="333">
        <v>-3.898112153948584</v>
      </c>
      <c r="H48" s="333">
        <v>-3.9439279488669374</v>
      </c>
      <c r="I48" s="59"/>
    </row>
    <row r="49" spans="1:9" ht="18" customHeight="1">
      <c r="A49" s="94" t="s">
        <v>36</v>
      </c>
      <c r="B49" s="18" t="s">
        <v>82</v>
      </c>
      <c r="C49" s="94" t="s">
        <v>129</v>
      </c>
      <c r="D49" s="56">
        <v>12986</v>
      </c>
      <c r="E49" s="56">
        <v>13403</v>
      </c>
      <c r="F49" s="332">
        <v>18663</v>
      </c>
      <c r="G49" s="333">
        <v>3.2111504697366393</v>
      </c>
      <c r="H49" s="333">
        <v>39.244945161531</v>
      </c>
      <c r="I49" s="59"/>
    </row>
    <row r="50" spans="1:9" ht="18" customHeight="1">
      <c r="A50" s="94" t="s">
        <v>37</v>
      </c>
      <c r="B50" s="18" t="s">
        <v>83</v>
      </c>
      <c r="C50" s="94" t="s">
        <v>580</v>
      </c>
      <c r="D50" s="56">
        <v>17836</v>
      </c>
      <c r="E50" s="56">
        <v>19233</v>
      </c>
      <c r="F50" s="332">
        <v>16995</v>
      </c>
      <c r="G50" s="333">
        <v>7.83247364880018</v>
      </c>
      <c r="H50" s="333">
        <v>-11.636250194977382</v>
      </c>
      <c r="I50" s="59"/>
    </row>
    <row r="51" spans="1:9" ht="27" customHeight="1">
      <c r="A51" s="94" t="s">
        <v>38</v>
      </c>
      <c r="B51" s="18" t="s">
        <v>84</v>
      </c>
      <c r="C51" s="94" t="s">
        <v>130</v>
      </c>
      <c r="D51" s="56">
        <v>9135</v>
      </c>
      <c r="E51" s="56">
        <v>10924</v>
      </c>
      <c r="F51" s="332">
        <v>11694</v>
      </c>
      <c r="G51" s="333">
        <v>19.584017515052</v>
      </c>
      <c r="H51" s="333">
        <v>7.048700109849872</v>
      </c>
      <c r="I51" s="59"/>
    </row>
    <row r="52" spans="1:9" ht="18" customHeight="1">
      <c r="A52" s="94" t="s">
        <v>39</v>
      </c>
      <c r="B52" s="18" t="s">
        <v>86</v>
      </c>
      <c r="C52" s="94" t="s">
        <v>131</v>
      </c>
      <c r="D52" s="56">
        <v>23266</v>
      </c>
      <c r="E52" s="56">
        <v>18211</v>
      </c>
      <c r="F52" s="332">
        <v>24488</v>
      </c>
      <c r="G52" s="333">
        <v>-21.72698358119144</v>
      </c>
      <c r="H52" s="333">
        <v>34.46817857338971</v>
      </c>
      <c r="I52" s="59"/>
    </row>
    <row r="53" spans="1:9" ht="18" customHeight="1">
      <c r="A53" s="94" t="s">
        <v>40</v>
      </c>
      <c r="B53" s="18" t="s">
        <v>87</v>
      </c>
      <c r="C53" s="94" t="s">
        <v>132</v>
      </c>
      <c r="D53" s="56">
        <v>74576</v>
      </c>
      <c r="E53" s="56">
        <v>77124</v>
      </c>
      <c r="F53" s="332">
        <v>74091</v>
      </c>
      <c r="G53" s="333">
        <v>3.4166487878137737</v>
      </c>
      <c r="H53" s="333">
        <v>-3.9326279757274</v>
      </c>
      <c r="I53" s="59"/>
    </row>
    <row r="54" spans="1:9" ht="12.75" customHeight="1">
      <c r="A54" s="98" t="s">
        <v>0</v>
      </c>
      <c r="B54" s="1"/>
      <c r="D54" s="99">
        <v>3709564</v>
      </c>
      <c r="E54" s="99">
        <v>3604084</v>
      </c>
      <c r="F54" s="335">
        <v>3598346</v>
      </c>
      <c r="G54" s="141">
        <v>-2.843460848768211</v>
      </c>
      <c r="H54" s="141">
        <v>-0.1592082759447338</v>
      </c>
      <c r="I54" s="100"/>
    </row>
    <row r="55" spans="1:9" ht="12.75" customHeight="1">
      <c r="A55" s="95"/>
      <c r="B55" s="43"/>
      <c r="C55" s="96"/>
      <c r="D55" s="128"/>
      <c r="E55" s="57"/>
      <c r="F55" s="57"/>
      <c r="G55" s="63"/>
      <c r="H55" s="63"/>
      <c r="I55" s="63"/>
    </row>
    <row r="56" spans="1:8" ht="8.25">
      <c r="A56" s="13"/>
      <c r="B56" s="26"/>
      <c r="C56" s="26"/>
      <c r="D56" s="99"/>
      <c r="E56" s="26"/>
      <c r="F56" s="26"/>
      <c r="G56" s="21"/>
      <c r="H56" s="31"/>
    </row>
    <row r="57" spans="1:11" s="13" customFormat="1" ht="9" customHeight="1">
      <c r="A57" s="39"/>
      <c r="B57" s="26"/>
      <c r="C57" s="26"/>
      <c r="D57" s="56"/>
      <c r="E57" s="26"/>
      <c r="F57" s="26"/>
      <c r="H57" s="31"/>
      <c r="I57" s="33"/>
      <c r="J57" s="20"/>
      <c r="K57" s="20"/>
    </row>
    <row r="58" spans="2:11" s="13" customFormat="1" ht="9" customHeight="1">
      <c r="B58" s="26"/>
      <c r="C58" s="26"/>
      <c r="D58" s="111"/>
      <c r="E58" s="26"/>
      <c r="F58" s="26"/>
      <c r="H58" s="31"/>
      <c r="I58" s="33"/>
      <c r="J58" s="20"/>
      <c r="K58" s="20"/>
    </row>
    <row r="59" spans="1:8" ht="8.25">
      <c r="A59" s="64"/>
      <c r="B59" s="26"/>
      <c r="C59" s="26"/>
      <c r="D59" s="111"/>
      <c r="E59" s="26"/>
      <c r="F59" s="26"/>
      <c r="G59" s="13"/>
      <c r="H59" s="31"/>
    </row>
    <row r="60" spans="1:7" ht="8.25">
      <c r="A60" s="64"/>
      <c r="D60" s="111"/>
      <c r="G60" s="13"/>
    </row>
    <row r="61" ht="8.25">
      <c r="D61" s="130"/>
    </row>
    <row r="64" spans="4:6" ht="8.25">
      <c r="D64" s="58"/>
      <c r="E64" s="58"/>
      <c r="F64" s="58"/>
    </row>
  </sheetData>
  <mergeCells count="10">
    <mergeCell ref="D4:F4"/>
    <mergeCell ref="G4:I4"/>
    <mergeCell ref="A4:A5"/>
    <mergeCell ref="B4:B5"/>
    <mergeCell ref="C4:C5"/>
    <mergeCell ref="G34:I34"/>
    <mergeCell ref="A34:A35"/>
    <mergeCell ref="B34:B35"/>
    <mergeCell ref="C34:C35"/>
    <mergeCell ref="D34:F34"/>
  </mergeCells>
  <printOptions horizontalCentered="1"/>
  <pageMargins left="0.984251968503937" right="0.984251968503937" top="1.1811023622047245" bottom="1.5748031496062993" header="0" footer="1.1811023622047245"/>
  <pageSetup firstPageNumber="183" useFirstPageNumber="1" horizontalDpi="300" verticalDpi="300" orientation="portrait" paperSize="9" scale="95" r:id="rId2"/>
  <headerFooter alignWithMargins="0">
    <oddFooter>&amp;C&amp;9 182</oddFooter>
  </headerFooter>
  <rowBreaks count="1" manualBreakCount="1">
    <brk id="2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4">
      <selection activeCell="A17" sqref="A17:C17"/>
    </sheetView>
  </sheetViews>
  <sheetFormatPr defaultColWidth="9.140625" defaultRowHeight="12.75"/>
  <cols>
    <col min="1" max="1" width="15.8515625" style="124" customWidth="1"/>
    <col min="2" max="2" width="6.8515625" style="124" customWidth="1"/>
    <col min="3" max="3" width="21.8515625" style="124" customWidth="1"/>
    <col min="4" max="6" width="5.7109375" style="5" customWidth="1"/>
    <col min="7" max="7" width="1.28515625" style="5" customWidth="1"/>
    <col min="8" max="9" width="6.57421875" style="5" customWidth="1"/>
    <col min="10" max="10" width="6.28125" style="5" customWidth="1"/>
    <col min="11" max="11" width="10.8515625" style="5" customWidth="1"/>
    <col min="12" max="16384" width="6.28125" style="5" customWidth="1"/>
  </cols>
  <sheetData>
    <row r="1" spans="4:9" ht="9" customHeight="1">
      <c r="D1" s="4"/>
      <c r="E1" s="4"/>
      <c r="F1" s="4"/>
      <c r="G1" s="4"/>
      <c r="H1" s="4"/>
      <c r="I1" s="4"/>
    </row>
    <row r="2" spans="1:9" ht="12" customHeight="1">
      <c r="A2" s="125" t="s">
        <v>583</v>
      </c>
      <c r="B2" s="125"/>
      <c r="D2" s="4"/>
      <c r="E2" s="4"/>
      <c r="F2" s="4"/>
      <c r="G2" s="4"/>
      <c r="H2" s="4"/>
      <c r="I2" s="4"/>
    </row>
    <row r="3" spans="1:9" ht="9" customHeight="1">
      <c r="A3" s="126"/>
      <c r="B3" s="126"/>
      <c r="C3" s="125"/>
      <c r="D3" s="116"/>
      <c r="E3" s="116"/>
      <c r="F3" s="116"/>
      <c r="G3" s="116"/>
      <c r="H3" s="116"/>
      <c r="I3" s="116"/>
    </row>
    <row r="4" spans="1:9" ht="21.75" customHeight="1">
      <c r="A4" s="381" t="s">
        <v>557</v>
      </c>
      <c r="B4" s="377" t="s">
        <v>193</v>
      </c>
      <c r="C4" s="377" t="s">
        <v>94</v>
      </c>
      <c r="D4" s="379" t="s">
        <v>89</v>
      </c>
      <c r="E4" s="379"/>
      <c r="F4" s="379"/>
      <c r="G4" s="117"/>
      <c r="H4" s="380" t="s">
        <v>88</v>
      </c>
      <c r="I4" s="380"/>
    </row>
    <row r="5" spans="1:9" ht="12" customHeight="1">
      <c r="A5" s="382"/>
      <c r="B5" s="378"/>
      <c r="C5" s="378"/>
      <c r="D5" s="78">
        <v>1995</v>
      </c>
      <c r="E5" s="78">
        <v>1997</v>
      </c>
      <c r="F5" s="78">
        <v>1999</v>
      </c>
      <c r="G5" s="81"/>
      <c r="H5" s="78" t="s">
        <v>112</v>
      </c>
      <c r="I5" s="78" t="s">
        <v>558</v>
      </c>
    </row>
    <row r="6" spans="1:9" ht="9" customHeight="1">
      <c r="A6" s="127"/>
      <c r="B6" s="127"/>
      <c r="H6" s="118"/>
      <c r="I6" s="118"/>
    </row>
    <row r="7" spans="1:12" ht="9" customHeight="1">
      <c r="A7" s="309" t="s">
        <v>142</v>
      </c>
      <c r="B7" s="309" t="s">
        <v>143</v>
      </c>
      <c r="C7" s="307" t="s">
        <v>523</v>
      </c>
      <c r="D7" s="111">
        <v>133</v>
      </c>
      <c r="E7" s="111">
        <v>141</v>
      </c>
      <c r="F7" s="111">
        <v>135</v>
      </c>
      <c r="G7" s="124"/>
      <c r="H7" s="11">
        <v>6.015037593984962</v>
      </c>
      <c r="I7" s="11">
        <v>-4.25531914893617</v>
      </c>
      <c r="J7" s="357"/>
      <c r="K7" s="358"/>
      <c r="L7" s="82"/>
    </row>
    <row r="8" spans="1:12" ht="18" customHeight="1">
      <c r="A8" s="309" t="s">
        <v>144</v>
      </c>
      <c r="B8" s="309" t="s">
        <v>145</v>
      </c>
      <c r="C8" s="307" t="s">
        <v>524</v>
      </c>
      <c r="D8" s="111">
        <v>22</v>
      </c>
      <c r="E8" s="111">
        <v>32</v>
      </c>
      <c r="F8" s="111">
        <v>32</v>
      </c>
      <c r="G8" s="124"/>
      <c r="H8" s="37">
        <v>45.45454545454545</v>
      </c>
      <c r="I8" s="11">
        <v>0</v>
      </c>
      <c r="J8" s="357"/>
      <c r="K8" s="120"/>
      <c r="L8" s="82"/>
    </row>
    <row r="9" spans="1:12" ht="9" customHeight="1">
      <c r="A9" s="309" t="s">
        <v>146</v>
      </c>
      <c r="B9" s="309" t="s">
        <v>147</v>
      </c>
      <c r="C9" s="307" t="s">
        <v>525</v>
      </c>
      <c r="D9" s="111">
        <v>134</v>
      </c>
      <c r="E9" s="111">
        <v>115</v>
      </c>
      <c r="F9" s="111">
        <v>307</v>
      </c>
      <c r="G9" s="124"/>
      <c r="H9" s="11">
        <v>-14.17910447761194</v>
      </c>
      <c r="I9" s="11">
        <v>167</v>
      </c>
      <c r="J9" s="357"/>
      <c r="K9" s="356"/>
      <c r="L9" s="82"/>
    </row>
    <row r="10" spans="1:12" ht="9" customHeight="1">
      <c r="A10" s="309" t="s">
        <v>148</v>
      </c>
      <c r="B10" s="309" t="s">
        <v>149</v>
      </c>
      <c r="C10" s="307" t="s">
        <v>526</v>
      </c>
      <c r="D10" s="111">
        <v>1682</v>
      </c>
      <c r="E10" s="111">
        <v>1966</v>
      </c>
      <c r="F10" s="111">
        <v>2134</v>
      </c>
      <c r="G10" s="124"/>
      <c r="H10" s="11">
        <v>16.884661117717002</v>
      </c>
      <c r="I10" s="11">
        <v>8.54526958290946</v>
      </c>
      <c r="J10" s="357"/>
      <c r="K10" s="82"/>
      <c r="L10" s="82"/>
    </row>
    <row r="11" spans="1:12" ht="9" customHeight="1">
      <c r="A11" s="309" t="s">
        <v>150</v>
      </c>
      <c r="B11" s="309" t="s">
        <v>151</v>
      </c>
      <c r="C11" s="307" t="s">
        <v>527</v>
      </c>
      <c r="D11" s="111">
        <v>337</v>
      </c>
      <c r="E11" s="111">
        <v>351</v>
      </c>
      <c r="F11" s="111">
        <v>341</v>
      </c>
      <c r="G11" s="124"/>
      <c r="H11" s="37">
        <v>4.154302670623145</v>
      </c>
      <c r="I11" s="11">
        <v>-2.849002849002849</v>
      </c>
      <c r="J11" s="357"/>
      <c r="K11" s="82"/>
      <c r="L11" s="82"/>
    </row>
    <row r="12" spans="1:12" ht="9" customHeight="1">
      <c r="A12" s="309" t="s">
        <v>152</v>
      </c>
      <c r="B12" s="309" t="s">
        <v>153</v>
      </c>
      <c r="C12" s="307" t="s">
        <v>528</v>
      </c>
      <c r="D12" s="111">
        <v>174</v>
      </c>
      <c r="E12" s="111">
        <v>142</v>
      </c>
      <c r="F12" s="111">
        <v>152</v>
      </c>
      <c r="G12" s="124"/>
      <c r="H12" s="37">
        <v>-18.39080459770115</v>
      </c>
      <c r="I12" s="11">
        <v>7.042253521126761</v>
      </c>
      <c r="J12" s="357"/>
      <c r="K12" s="121"/>
      <c r="L12" s="122"/>
    </row>
    <row r="13" spans="1:12" ht="9" customHeight="1">
      <c r="A13" s="309" t="s">
        <v>154</v>
      </c>
      <c r="B13" s="309" t="s">
        <v>155</v>
      </c>
      <c r="C13" s="307" t="s">
        <v>529</v>
      </c>
      <c r="D13" s="111" t="s">
        <v>1</v>
      </c>
      <c r="E13" s="111">
        <v>22</v>
      </c>
      <c r="F13" s="111">
        <v>21</v>
      </c>
      <c r="G13" s="124"/>
      <c r="H13" s="37" t="s">
        <v>1</v>
      </c>
      <c r="I13" s="37">
        <v>-4.545454545454546</v>
      </c>
      <c r="J13" s="357"/>
      <c r="K13" s="82"/>
      <c r="L13" s="82"/>
    </row>
    <row r="14" spans="1:12" ht="9" customHeight="1">
      <c r="A14" s="309" t="s">
        <v>156</v>
      </c>
      <c r="B14" s="309" t="s">
        <v>157</v>
      </c>
      <c r="C14" s="307" t="s">
        <v>530</v>
      </c>
      <c r="D14" s="111">
        <v>151</v>
      </c>
      <c r="E14" s="111">
        <v>124</v>
      </c>
      <c r="F14" s="111">
        <v>112</v>
      </c>
      <c r="G14" s="124"/>
      <c r="H14" s="37">
        <v>-17.880794701986755</v>
      </c>
      <c r="I14" s="11">
        <v>-9.67741935483871</v>
      </c>
      <c r="J14" s="357"/>
      <c r="K14" s="121"/>
      <c r="L14" s="122"/>
    </row>
    <row r="15" spans="1:12" ht="9" customHeight="1">
      <c r="A15" s="324" t="s">
        <v>158</v>
      </c>
      <c r="B15" s="309" t="s">
        <v>159</v>
      </c>
      <c r="C15" s="307" t="s">
        <v>531</v>
      </c>
      <c r="D15" s="111" t="s">
        <v>1</v>
      </c>
      <c r="E15" s="111">
        <v>796</v>
      </c>
      <c r="F15" s="111">
        <v>993</v>
      </c>
      <c r="G15" s="124"/>
      <c r="H15" s="37" t="s">
        <v>1</v>
      </c>
      <c r="I15" s="37">
        <v>24.7</v>
      </c>
      <c r="J15" s="357"/>
      <c r="K15" s="121"/>
      <c r="L15" s="122"/>
    </row>
    <row r="16" spans="1:12" ht="9" customHeight="1">
      <c r="A16" s="309" t="s">
        <v>160</v>
      </c>
      <c r="B16" s="309" t="s">
        <v>161</v>
      </c>
      <c r="C16" s="307" t="s">
        <v>532</v>
      </c>
      <c r="D16" s="111">
        <v>48</v>
      </c>
      <c r="E16" s="111">
        <v>49</v>
      </c>
      <c r="F16" s="111">
        <v>49</v>
      </c>
      <c r="G16" s="124"/>
      <c r="H16" s="11">
        <v>2.083333333333333</v>
      </c>
      <c r="I16" s="37" t="s">
        <v>1</v>
      </c>
      <c r="J16" s="357"/>
      <c r="K16" s="120"/>
      <c r="L16" s="82"/>
    </row>
    <row r="17" spans="1:12" ht="9" customHeight="1">
      <c r="A17" s="309" t="s">
        <v>708</v>
      </c>
      <c r="B17" s="309" t="s">
        <v>709</v>
      </c>
      <c r="C17" s="307" t="s">
        <v>710</v>
      </c>
      <c r="D17" s="353" t="s">
        <v>1</v>
      </c>
      <c r="E17" s="353" t="s">
        <v>1</v>
      </c>
      <c r="F17" s="111">
        <v>206</v>
      </c>
      <c r="G17" s="124"/>
      <c r="H17" s="37" t="s">
        <v>1</v>
      </c>
      <c r="I17" s="37" t="s">
        <v>1</v>
      </c>
      <c r="J17" s="357"/>
      <c r="K17" s="120"/>
      <c r="L17" s="82"/>
    </row>
    <row r="18" spans="1:12" ht="9" customHeight="1">
      <c r="A18" s="309" t="s">
        <v>162</v>
      </c>
      <c r="B18" s="309" t="s">
        <v>163</v>
      </c>
      <c r="C18" s="307" t="s">
        <v>533</v>
      </c>
      <c r="D18" s="111">
        <v>68</v>
      </c>
      <c r="E18" s="111">
        <v>63</v>
      </c>
      <c r="F18" s="111">
        <v>58</v>
      </c>
      <c r="G18" s="124"/>
      <c r="H18" s="11">
        <v>-7.352941176470589</v>
      </c>
      <c r="I18" s="11">
        <v>-7.936507936507936</v>
      </c>
      <c r="J18" s="357"/>
      <c r="K18" s="82"/>
      <c r="L18" s="122"/>
    </row>
    <row r="19" spans="1:12" ht="9" customHeight="1">
      <c r="A19" s="309" t="s">
        <v>164</v>
      </c>
      <c r="B19" s="309" t="s">
        <v>165</v>
      </c>
      <c r="C19" s="307" t="s">
        <v>534</v>
      </c>
      <c r="D19" s="111">
        <v>357</v>
      </c>
      <c r="E19" s="111">
        <v>357</v>
      </c>
      <c r="F19" s="111">
        <v>331</v>
      </c>
      <c r="G19" s="124"/>
      <c r="H19" s="11">
        <v>0</v>
      </c>
      <c r="I19" s="11">
        <v>-7.282913165266107</v>
      </c>
      <c r="J19" s="357"/>
      <c r="K19" s="82"/>
      <c r="L19" s="82"/>
    </row>
    <row r="20" spans="1:12" ht="9" customHeight="1">
      <c r="A20" s="309" t="s">
        <v>166</v>
      </c>
      <c r="B20" s="309" t="s">
        <v>167</v>
      </c>
      <c r="C20" s="307" t="s">
        <v>535</v>
      </c>
      <c r="D20" s="111">
        <v>82</v>
      </c>
      <c r="E20" s="111">
        <v>95</v>
      </c>
      <c r="F20" s="111">
        <v>96</v>
      </c>
      <c r="G20" s="124"/>
      <c r="H20" s="11">
        <v>15.853658536585366</v>
      </c>
      <c r="I20" s="11">
        <v>1.0526315789473684</v>
      </c>
      <c r="J20" s="357"/>
      <c r="K20" s="120"/>
      <c r="L20" s="82"/>
    </row>
    <row r="21" spans="1:12" ht="9" customHeight="1">
      <c r="A21" s="309" t="s">
        <v>168</v>
      </c>
      <c r="B21" s="309" t="s">
        <v>169</v>
      </c>
      <c r="C21" s="307" t="s">
        <v>536</v>
      </c>
      <c r="D21" s="111">
        <v>363</v>
      </c>
      <c r="E21" s="111">
        <v>371</v>
      </c>
      <c r="F21" s="111">
        <v>375</v>
      </c>
      <c r="G21" s="124"/>
      <c r="H21" s="11">
        <v>2.203856749311295</v>
      </c>
      <c r="I21" s="11">
        <v>1.078167115902965</v>
      </c>
      <c r="J21" s="357"/>
      <c r="K21" s="82"/>
      <c r="L21" s="82"/>
    </row>
    <row r="22" spans="1:12" ht="18" customHeight="1">
      <c r="A22" s="309" t="s">
        <v>170</v>
      </c>
      <c r="B22" s="309" t="s">
        <v>171</v>
      </c>
      <c r="C22" s="307" t="s">
        <v>537</v>
      </c>
      <c r="D22" s="111">
        <v>273</v>
      </c>
      <c r="E22" s="111">
        <v>297</v>
      </c>
      <c r="F22" s="111">
        <v>266</v>
      </c>
      <c r="G22" s="124"/>
      <c r="H22" s="11">
        <v>8.791208791208792</v>
      </c>
      <c r="I22" s="11">
        <v>-10.437710437710438</v>
      </c>
      <c r="J22" s="357"/>
      <c r="K22" s="82"/>
      <c r="L22" s="82"/>
    </row>
    <row r="23" spans="1:12" ht="9" customHeight="1">
      <c r="A23" s="309" t="s">
        <v>172</v>
      </c>
      <c r="B23" s="309" t="s">
        <v>173</v>
      </c>
      <c r="C23" s="307" t="s">
        <v>538</v>
      </c>
      <c r="D23" s="111">
        <v>175</v>
      </c>
      <c r="E23" s="111">
        <v>171</v>
      </c>
      <c r="F23" s="111">
        <v>156</v>
      </c>
      <c r="G23" s="124"/>
      <c r="H23" s="11">
        <v>-2.2857142857142856</v>
      </c>
      <c r="I23" s="11">
        <v>-8.771929824561402</v>
      </c>
      <c r="J23" s="357"/>
      <c r="K23" s="82"/>
      <c r="L23" s="82"/>
    </row>
    <row r="24" spans="1:12" ht="9" customHeight="1">
      <c r="A24" s="309" t="s">
        <v>174</v>
      </c>
      <c r="B24" s="309" t="s">
        <v>175</v>
      </c>
      <c r="C24" s="307" t="s">
        <v>539</v>
      </c>
      <c r="D24" s="111" t="s">
        <v>1</v>
      </c>
      <c r="E24" s="111">
        <v>121</v>
      </c>
      <c r="F24" s="111">
        <v>116</v>
      </c>
      <c r="G24" s="124"/>
      <c r="H24" s="37" t="s">
        <v>1</v>
      </c>
      <c r="I24" s="37">
        <v>-4.132231404958678</v>
      </c>
      <c r="J24" s="357"/>
      <c r="K24" s="121"/>
      <c r="L24" s="122"/>
    </row>
    <row r="25" spans="1:12" ht="9" customHeight="1">
      <c r="A25" s="309" t="s">
        <v>176</v>
      </c>
      <c r="B25" s="309" t="s">
        <v>177</v>
      </c>
      <c r="C25" s="307" t="s">
        <v>540</v>
      </c>
      <c r="D25" s="111">
        <v>168</v>
      </c>
      <c r="E25" s="111">
        <v>142</v>
      </c>
      <c r="F25" s="111">
        <v>128</v>
      </c>
      <c r="G25" s="124"/>
      <c r="H25" s="11">
        <v>-15.476190476190476</v>
      </c>
      <c r="I25" s="11">
        <v>-9.859154929577464</v>
      </c>
      <c r="J25" s="357"/>
      <c r="K25" s="82"/>
      <c r="L25" s="82"/>
    </row>
    <row r="26" spans="1:12" ht="9" customHeight="1">
      <c r="A26" s="309" t="s">
        <v>178</v>
      </c>
      <c r="B26" s="309" t="s">
        <v>179</v>
      </c>
      <c r="C26" s="307" t="s">
        <v>541</v>
      </c>
      <c r="D26" s="111" t="s">
        <v>1</v>
      </c>
      <c r="E26" s="111">
        <v>25</v>
      </c>
      <c r="F26" s="111">
        <v>21</v>
      </c>
      <c r="G26" s="124"/>
      <c r="H26" s="37" t="s">
        <v>1</v>
      </c>
      <c r="I26" s="37">
        <v>-16</v>
      </c>
      <c r="J26" s="357"/>
      <c r="K26" s="121"/>
      <c r="L26" s="122"/>
    </row>
    <row r="27" spans="1:12" ht="9" customHeight="1">
      <c r="A27" s="309" t="s">
        <v>180</v>
      </c>
      <c r="B27" s="309" t="s">
        <v>214</v>
      </c>
      <c r="C27" s="307" t="s">
        <v>546</v>
      </c>
      <c r="D27" s="111">
        <v>380</v>
      </c>
      <c r="E27" s="111">
        <v>413</v>
      </c>
      <c r="F27" s="111">
        <v>394</v>
      </c>
      <c r="G27" s="124"/>
      <c r="H27" s="11">
        <v>8.68421052631579</v>
      </c>
      <c r="I27" s="11">
        <v>-4.600484261501211</v>
      </c>
      <c r="J27" s="357"/>
      <c r="K27" s="120"/>
      <c r="L27" s="123"/>
    </row>
    <row r="28" spans="1:12" ht="9" customHeight="1">
      <c r="A28" s="309" t="s">
        <v>181</v>
      </c>
      <c r="B28" s="309" t="s">
        <v>182</v>
      </c>
      <c r="C28" s="307" t="s">
        <v>542</v>
      </c>
      <c r="D28" s="111">
        <v>18</v>
      </c>
      <c r="E28" s="111">
        <v>16</v>
      </c>
      <c r="F28" s="111">
        <v>19</v>
      </c>
      <c r="G28" s="124"/>
      <c r="H28" s="11">
        <v>-11.11111111111111</v>
      </c>
      <c r="I28" s="11">
        <v>18.75</v>
      </c>
      <c r="J28" s="357"/>
      <c r="K28" s="82"/>
      <c r="L28" s="82"/>
    </row>
    <row r="29" spans="1:12" ht="9" customHeight="1">
      <c r="A29" s="309" t="s">
        <v>183</v>
      </c>
      <c r="B29" s="309" t="s">
        <v>184</v>
      </c>
      <c r="C29" s="307" t="s">
        <v>543</v>
      </c>
      <c r="D29" s="111">
        <v>168</v>
      </c>
      <c r="E29" s="111">
        <v>203</v>
      </c>
      <c r="F29" s="111">
        <v>217</v>
      </c>
      <c r="G29" s="124"/>
      <c r="H29" s="11">
        <v>20.833333333333336</v>
      </c>
      <c r="I29" s="11">
        <v>6.896551724137931</v>
      </c>
      <c r="J29" s="357"/>
      <c r="K29" s="82"/>
      <c r="L29" s="82"/>
    </row>
    <row r="30" spans="1:12" ht="18" customHeight="1">
      <c r="A30" s="309" t="s">
        <v>185</v>
      </c>
      <c r="B30" s="309" t="s">
        <v>186</v>
      </c>
      <c r="C30" s="307" t="s">
        <v>187</v>
      </c>
      <c r="D30" s="111">
        <v>471</v>
      </c>
      <c r="E30" s="111">
        <v>572</v>
      </c>
      <c r="F30" s="111" t="s">
        <v>1</v>
      </c>
      <c r="G30" s="124"/>
      <c r="H30" s="11">
        <v>21.443736730360936</v>
      </c>
      <c r="I30" s="11" t="s">
        <v>1</v>
      </c>
      <c r="J30" s="357"/>
      <c r="K30" s="82"/>
      <c r="L30" s="82"/>
    </row>
    <row r="31" spans="1:12" ht="9" customHeight="1">
      <c r="A31" s="309" t="s">
        <v>188</v>
      </c>
      <c r="B31" s="309" t="s">
        <v>189</v>
      </c>
      <c r="C31" s="307" t="s">
        <v>544</v>
      </c>
      <c r="D31" s="111">
        <v>72</v>
      </c>
      <c r="E31" s="111">
        <v>71</v>
      </c>
      <c r="F31" s="111">
        <v>71</v>
      </c>
      <c r="G31" s="124"/>
      <c r="H31" s="11">
        <v>-1.3888888888888888</v>
      </c>
      <c r="I31" s="37" t="s">
        <v>1</v>
      </c>
      <c r="J31" s="357"/>
      <c r="K31" s="82"/>
      <c r="L31" s="122"/>
    </row>
    <row r="32" spans="1:12" ht="9" customHeight="1">
      <c r="A32" s="309" t="s">
        <v>190</v>
      </c>
      <c r="B32" s="309" t="s">
        <v>191</v>
      </c>
      <c r="C32" s="307" t="s">
        <v>545</v>
      </c>
      <c r="D32" s="111" t="s">
        <v>1</v>
      </c>
      <c r="E32" s="111">
        <v>124</v>
      </c>
      <c r="F32" s="111">
        <v>135</v>
      </c>
      <c r="G32" s="124"/>
      <c r="H32" s="37" t="s">
        <v>1</v>
      </c>
      <c r="I32" s="37">
        <v>8.870967741935484</v>
      </c>
      <c r="J32" s="357"/>
      <c r="K32" s="359"/>
      <c r="L32" s="122"/>
    </row>
    <row r="33" spans="1:11" s="82" customFormat="1" ht="9" customHeight="1">
      <c r="A33" s="322" t="s">
        <v>192</v>
      </c>
      <c r="B33" s="322"/>
      <c r="C33" s="307"/>
      <c r="D33" s="130">
        <v>5276</v>
      </c>
      <c r="E33" s="130">
        <v>6779</v>
      </c>
      <c r="F33" s="354">
        <v>6865</v>
      </c>
      <c r="G33" s="127"/>
      <c r="H33" s="131">
        <v>28.487490523123576</v>
      </c>
      <c r="I33" s="131">
        <v>1.3</v>
      </c>
      <c r="J33" s="357"/>
      <c r="K33" s="355"/>
    </row>
    <row r="34" spans="1:11" ht="7.5" customHeight="1">
      <c r="A34" s="134"/>
      <c r="B34" s="134"/>
      <c r="C34" s="323"/>
      <c r="D34" s="128"/>
      <c r="E34" s="128"/>
      <c r="F34" s="128"/>
      <c r="G34" s="128"/>
      <c r="H34" s="128"/>
      <c r="I34" s="128"/>
      <c r="K34" s="360"/>
    </row>
    <row r="39" ht="8.25">
      <c r="A39" s="5"/>
    </row>
    <row r="40" ht="8.25">
      <c r="A40" s="5"/>
    </row>
    <row r="41" ht="8.25">
      <c r="A41" s="5"/>
    </row>
    <row r="42" ht="8.25">
      <c r="A42" s="5"/>
    </row>
    <row r="66" spans="1:2" ht="8.25">
      <c r="A66" s="39"/>
      <c r="B66" s="39"/>
    </row>
    <row r="67" spans="1:2" ht="13.5">
      <c r="A67" s="129"/>
      <c r="B67" s="129"/>
    </row>
    <row r="68" spans="1:2" ht="13.5">
      <c r="A68" s="129"/>
      <c r="B68" s="129"/>
    </row>
  </sheetData>
  <mergeCells count="5">
    <mergeCell ref="D4:F4"/>
    <mergeCell ref="H4:I4"/>
    <mergeCell ref="A4:A5"/>
    <mergeCell ref="B4:B5"/>
    <mergeCell ref="C4:C5"/>
  </mergeCells>
  <printOptions horizontalCentered="1"/>
  <pageMargins left="1.1811023622047245" right="1.1811023622047245" top="1.1811023622047245" bottom="1.5748031496062993" header="0" footer="1.2598425196850394"/>
  <pageSetup firstPageNumber="184" useFirstPageNumber="1" horizontalDpi="300" verticalDpi="300" orientation="portrait" paperSize="9" r:id="rId2"/>
  <headerFooter alignWithMargins="0">
    <oddFooter>&amp;C&amp;9 184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3">
      <selection activeCell="C19" sqref="C19"/>
    </sheetView>
  </sheetViews>
  <sheetFormatPr defaultColWidth="9.140625" defaultRowHeight="12.75"/>
  <cols>
    <col min="1" max="1" width="15.28125" style="124" customWidth="1"/>
    <col min="2" max="2" width="5.28125" style="124" customWidth="1"/>
    <col min="3" max="3" width="20.140625" style="124" customWidth="1"/>
    <col min="4" max="4" width="6.28125" style="5" customWidth="1"/>
    <col min="5" max="5" width="5.7109375" style="5" customWidth="1"/>
    <col min="6" max="6" width="6.421875" style="5" customWidth="1"/>
    <col min="7" max="7" width="6.140625" style="5" customWidth="1"/>
    <col min="8" max="8" width="0.9921875" style="5" customWidth="1"/>
    <col min="9" max="9" width="5.00390625" style="5" customWidth="1"/>
    <col min="10" max="10" width="5.7109375" style="5" customWidth="1"/>
    <col min="11" max="11" width="6.28125" style="5" customWidth="1"/>
    <col min="12" max="12" width="10.8515625" style="5" customWidth="1"/>
    <col min="13" max="16384" width="6.28125" style="5" customWidth="1"/>
  </cols>
  <sheetData>
    <row r="1" spans="4:10" ht="9" customHeight="1">
      <c r="D1" s="4"/>
      <c r="E1" s="4"/>
      <c r="F1" s="4"/>
      <c r="G1" s="4"/>
      <c r="H1" s="4"/>
      <c r="I1" s="4"/>
      <c r="J1" s="4"/>
    </row>
    <row r="2" spans="1:10" ht="12" customHeight="1">
      <c r="A2" s="125" t="s">
        <v>584</v>
      </c>
      <c r="B2" s="125"/>
      <c r="D2" s="4"/>
      <c r="E2" s="4"/>
      <c r="F2" s="4"/>
      <c r="G2" s="4"/>
      <c r="H2" s="4"/>
      <c r="I2" s="4"/>
      <c r="J2" s="4"/>
    </row>
    <row r="3" spans="1:10" ht="9" customHeight="1">
      <c r="A3" s="126"/>
      <c r="B3" s="126"/>
      <c r="C3" s="125"/>
      <c r="D3" s="116"/>
      <c r="E3" s="116"/>
      <c r="F3" s="116"/>
      <c r="G3" s="116"/>
      <c r="H3" s="68"/>
      <c r="I3" s="116"/>
      <c r="J3" s="116"/>
    </row>
    <row r="4" spans="1:10" ht="12.75" customHeight="1">
      <c r="A4" s="386" t="s">
        <v>41</v>
      </c>
      <c r="B4" s="386" t="s">
        <v>193</v>
      </c>
      <c r="C4" s="386" t="s">
        <v>42</v>
      </c>
      <c r="D4" s="365" t="s">
        <v>93</v>
      </c>
      <c r="E4" s="365"/>
      <c r="F4" s="365"/>
      <c r="G4" s="365"/>
      <c r="H4" s="392"/>
      <c r="I4" s="389" t="s">
        <v>92</v>
      </c>
      <c r="J4" s="383" t="s">
        <v>0</v>
      </c>
    </row>
    <row r="5" spans="1:10" ht="10.5" customHeight="1">
      <c r="A5" s="387"/>
      <c r="B5" s="387"/>
      <c r="C5" s="387"/>
      <c r="D5" s="149" t="s">
        <v>43</v>
      </c>
      <c r="E5" s="149" t="s">
        <v>44</v>
      </c>
      <c r="F5" s="149" t="s">
        <v>45</v>
      </c>
      <c r="G5" s="149" t="s">
        <v>0</v>
      </c>
      <c r="H5" s="393"/>
      <c r="I5" s="390"/>
      <c r="J5" s="384" t="s">
        <v>194</v>
      </c>
    </row>
    <row r="6" spans="1:13" ht="10.5" customHeight="1">
      <c r="A6" s="388"/>
      <c r="B6" s="388"/>
      <c r="C6" s="388"/>
      <c r="D6" s="150" t="s">
        <v>91</v>
      </c>
      <c r="E6" s="150" t="s">
        <v>220</v>
      </c>
      <c r="F6" s="150" t="s">
        <v>90</v>
      </c>
      <c r="G6" s="151"/>
      <c r="H6" s="394"/>
      <c r="I6" s="391"/>
      <c r="J6" s="385"/>
      <c r="K6" s="119"/>
      <c r="L6" s="82"/>
      <c r="M6" s="82"/>
    </row>
    <row r="7" spans="1:13" ht="8.25">
      <c r="A7" s="67"/>
      <c r="B7" s="67"/>
      <c r="C7" s="132"/>
      <c r="D7" s="111"/>
      <c r="E7" s="111"/>
      <c r="F7" s="111"/>
      <c r="G7" s="124"/>
      <c r="H7" s="124"/>
      <c r="I7" s="37"/>
      <c r="J7" s="11"/>
      <c r="K7" s="82"/>
      <c r="L7" s="120"/>
      <c r="M7" s="82"/>
    </row>
    <row r="8" spans="1:13" ht="9" customHeight="1">
      <c r="A8" s="324" t="s">
        <v>142</v>
      </c>
      <c r="B8" s="324" t="s">
        <v>195</v>
      </c>
      <c r="C8" s="325" t="s">
        <v>547</v>
      </c>
      <c r="D8" s="152">
        <v>270</v>
      </c>
      <c r="E8" s="152">
        <v>228</v>
      </c>
      <c r="F8" s="152">
        <v>60</v>
      </c>
      <c r="G8" s="153">
        <v>558</v>
      </c>
      <c r="I8" s="153">
        <v>50</v>
      </c>
      <c r="J8" s="154">
        <v>608</v>
      </c>
      <c r="K8" s="120"/>
      <c r="L8" s="82"/>
      <c r="M8" s="82"/>
    </row>
    <row r="9" spans="1:13" ht="18.75" customHeight="1">
      <c r="A9" s="67" t="s">
        <v>144</v>
      </c>
      <c r="B9" s="67" t="s">
        <v>145</v>
      </c>
      <c r="C9" s="132" t="s">
        <v>551</v>
      </c>
      <c r="D9" s="152">
        <v>215</v>
      </c>
      <c r="E9" s="152">
        <v>7</v>
      </c>
      <c r="F9" s="343" t="s">
        <v>1</v>
      </c>
      <c r="G9" s="153">
        <v>222</v>
      </c>
      <c r="I9" s="153">
        <v>40</v>
      </c>
      <c r="J9" s="154">
        <v>262</v>
      </c>
      <c r="K9" s="82"/>
      <c r="L9" s="82"/>
      <c r="M9" s="82"/>
    </row>
    <row r="10" spans="1:13" ht="8.25" customHeight="1">
      <c r="A10" s="67" t="s">
        <v>146</v>
      </c>
      <c r="B10" s="67" t="s">
        <v>196</v>
      </c>
      <c r="C10" s="132" t="s">
        <v>525</v>
      </c>
      <c r="D10" s="152">
        <v>518</v>
      </c>
      <c r="E10" s="152">
        <v>1694</v>
      </c>
      <c r="F10" s="152">
        <v>144</v>
      </c>
      <c r="G10" s="153">
        <v>2356</v>
      </c>
      <c r="I10" s="153">
        <v>136</v>
      </c>
      <c r="J10" s="155">
        <v>2492</v>
      </c>
      <c r="K10" s="82"/>
      <c r="L10" s="82"/>
      <c r="M10" s="82"/>
    </row>
    <row r="11" spans="1:13" ht="8.25" customHeight="1">
      <c r="A11" s="324" t="s">
        <v>148</v>
      </c>
      <c r="B11" s="324" t="s">
        <v>197</v>
      </c>
      <c r="C11" s="324" t="s">
        <v>526</v>
      </c>
      <c r="D11" s="152">
        <v>5212</v>
      </c>
      <c r="E11" s="152">
        <v>40</v>
      </c>
      <c r="F11" s="152">
        <v>180</v>
      </c>
      <c r="G11" s="153">
        <v>5432</v>
      </c>
      <c r="I11" s="153">
        <v>154</v>
      </c>
      <c r="J11" s="155">
        <v>5586</v>
      </c>
      <c r="K11" s="82"/>
      <c r="L11" s="121"/>
      <c r="M11" s="122"/>
    </row>
    <row r="12" spans="1:13" ht="8.25">
      <c r="A12" s="67" t="s">
        <v>150</v>
      </c>
      <c r="B12" s="67" t="s">
        <v>198</v>
      </c>
      <c r="C12" s="133" t="s">
        <v>552</v>
      </c>
      <c r="D12" s="152">
        <v>2810</v>
      </c>
      <c r="E12" s="152">
        <v>501</v>
      </c>
      <c r="F12" s="152">
        <v>506</v>
      </c>
      <c r="G12" s="153">
        <v>3817</v>
      </c>
      <c r="I12" s="153">
        <v>91</v>
      </c>
      <c r="J12" s="155">
        <v>3908</v>
      </c>
      <c r="K12" s="82"/>
      <c r="L12" s="82"/>
      <c r="M12" s="82"/>
    </row>
    <row r="13" spans="1:13" ht="8.25" customHeight="1">
      <c r="A13" s="326" t="s">
        <v>152</v>
      </c>
      <c r="B13" s="324" t="s">
        <v>199</v>
      </c>
      <c r="C13" s="327" t="s">
        <v>528</v>
      </c>
      <c r="D13" s="152">
        <v>820</v>
      </c>
      <c r="E13" s="152">
        <v>145</v>
      </c>
      <c r="F13" s="152">
        <v>41</v>
      </c>
      <c r="G13" s="153">
        <v>1006</v>
      </c>
      <c r="I13" s="153">
        <v>27</v>
      </c>
      <c r="J13" s="155">
        <v>1033</v>
      </c>
      <c r="K13" s="82"/>
      <c r="L13" s="121"/>
      <c r="M13" s="122"/>
    </row>
    <row r="14" spans="1:13" ht="9" customHeight="1">
      <c r="A14" s="324" t="s">
        <v>154</v>
      </c>
      <c r="B14" s="324" t="s">
        <v>200</v>
      </c>
      <c r="C14" s="328" t="s">
        <v>548</v>
      </c>
      <c r="D14" s="152">
        <v>38</v>
      </c>
      <c r="E14" s="152">
        <v>14</v>
      </c>
      <c r="F14" s="152">
        <v>12</v>
      </c>
      <c r="G14" s="153">
        <v>64</v>
      </c>
      <c r="I14" s="153">
        <v>39</v>
      </c>
      <c r="J14" s="155">
        <v>103</v>
      </c>
      <c r="K14" s="82"/>
      <c r="L14" s="121"/>
      <c r="M14" s="122"/>
    </row>
    <row r="15" spans="1:13" ht="8.25">
      <c r="A15" s="324" t="s">
        <v>156</v>
      </c>
      <c r="B15" s="324" t="s">
        <v>201</v>
      </c>
      <c r="C15" s="328" t="s">
        <v>530</v>
      </c>
      <c r="D15" s="152">
        <v>457</v>
      </c>
      <c r="E15" s="152" t="s">
        <v>2</v>
      </c>
      <c r="F15" s="152">
        <v>82</v>
      </c>
      <c r="G15" s="153">
        <v>539</v>
      </c>
      <c r="I15" s="153">
        <v>124</v>
      </c>
      <c r="J15" s="154">
        <v>663</v>
      </c>
      <c r="K15" s="82"/>
      <c r="L15" s="120"/>
      <c r="M15" s="82"/>
    </row>
    <row r="16" spans="1:13" ht="9" customHeight="1">
      <c r="A16" s="324" t="s">
        <v>158</v>
      </c>
      <c r="B16" s="324" t="s">
        <v>202</v>
      </c>
      <c r="C16" s="328" t="s">
        <v>553</v>
      </c>
      <c r="D16" s="152">
        <v>3784</v>
      </c>
      <c r="E16" s="152">
        <v>48</v>
      </c>
      <c r="F16" s="152" t="s">
        <v>2</v>
      </c>
      <c r="G16" s="153">
        <v>3832</v>
      </c>
      <c r="I16" s="153">
        <v>13</v>
      </c>
      <c r="J16" s="154">
        <v>3845</v>
      </c>
      <c r="K16" s="82"/>
      <c r="L16" s="82"/>
      <c r="M16" s="122"/>
    </row>
    <row r="17" spans="1:13" ht="8.25">
      <c r="A17" s="324" t="s">
        <v>160</v>
      </c>
      <c r="B17" s="324" t="s">
        <v>203</v>
      </c>
      <c r="C17" s="328" t="s">
        <v>532</v>
      </c>
      <c r="D17" s="152">
        <v>417</v>
      </c>
      <c r="E17" s="152">
        <v>426</v>
      </c>
      <c r="F17" s="152">
        <v>99</v>
      </c>
      <c r="G17" s="153">
        <v>942</v>
      </c>
      <c r="I17" s="153">
        <v>249</v>
      </c>
      <c r="J17" s="154">
        <v>1191</v>
      </c>
      <c r="K17" s="82"/>
      <c r="L17" s="82"/>
      <c r="M17" s="82"/>
    </row>
    <row r="18" spans="1:13" ht="8.25">
      <c r="A18" s="309" t="s">
        <v>708</v>
      </c>
      <c r="B18" s="309" t="s">
        <v>709</v>
      </c>
      <c r="C18" s="307" t="s">
        <v>710</v>
      </c>
      <c r="D18" s="152">
        <v>1071</v>
      </c>
      <c r="E18" s="152">
        <v>122</v>
      </c>
      <c r="F18" s="152">
        <v>170</v>
      </c>
      <c r="G18" s="153">
        <v>1363</v>
      </c>
      <c r="I18" s="153">
        <v>560</v>
      </c>
      <c r="J18" s="154">
        <v>1923</v>
      </c>
      <c r="K18" s="82"/>
      <c r="L18" s="82"/>
      <c r="M18" s="82"/>
    </row>
    <row r="19" spans="1:13" ht="8.25">
      <c r="A19" s="324" t="s">
        <v>162</v>
      </c>
      <c r="B19" s="324" t="s">
        <v>204</v>
      </c>
      <c r="C19" s="328" t="s">
        <v>549</v>
      </c>
      <c r="D19" s="152">
        <v>154</v>
      </c>
      <c r="E19" s="152">
        <v>44</v>
      </c>
      <c r="F19" s="152">
        <v>15</v>
      </c>
      <c r="G19" s="153">
        <v>213</v>
      </c>
      <c r="I19" s="153">
        <v>7</v>
      </c>
      <c r="J19" s="154">
        <v>220</v>
      </c>
      <c r="K19" s="82"/>
      <c r="L19" s="120"/>
      <c r="M19" s="82"/>
    </row>
    <row r="20" spans="1:13" ht="8.25">
      <c r="A20" s="324" t="s">
        <v>164</v>
      </c>
      <c r="B20" s="324" t="s">
        <v>205</v>
      </c>
      <c r="C20" s="328" t="s">
        <v>534</v>
      </c>
      <c r="D20" s="152">
        <v>675</v>
      </c>
      <c r="E20" s="152">
        <v>111</v>
      </c>
      <c r="F20" s="152">
        <v>315</v>
      </c>
      <c r="G20" s="153">
        <v>1101</v>
      </c>
      <c r="I20" s="153">
        <v>99</v>
      </c>
      <c r="J20" s="154">
        <v>1200</v>
      </c>
      <c r="K20" s="82"/>
      <c r="L20" s="82"/>
      <c r="M20" s="82"/>
    </row>
    <row r="21" spans="1:13" ht="8.25">
      <c r="A21" s="324" t="s">
        <v>206</v>
      </c>
      <c r="B21" s="324" t="s">
        <v>207</v>
      </c>
      <c r="C21" s="328" t="s">
        <v>535</v>
      </c>
      <c r="D21" s="152">
        <v>576</v>
      </c>
      <c r="E21" s="152">
        <v>54</v>
      </c>
      <c r="F21" s="152">
        <v>121</v>
      </c>
      <c r="G21" s="153">
        <v>751</v>
      </c>
      <c r="I21" s="153">
        <v>60</v>
      </c>
      <c r="J21" s="154">
        <v>811</v>
      </c>
      <c r="K21" s="82"/>
      <c r="L21" s="82"/>
      <c r="M21" s="82"/>
    </row>
    <row r="22" spans="1:13" ht="8.25">
      <c r="A22" s="324" t="s">
        <v>168</v>
      </c>
      <c r="B22" s="324" t="s">
        <v>208</v>
      </c>
      <c r="C22" s="328" t="s">
        <v>550</v>
      </c>
      <c r="D22" s="152">
        <v>1865</v>
      </c>
      <c r="E22" s="343" t="s">
        <v>1</v>
      </c>
      <c r="F22" s="152">
        <v>288</v>
      </c>
      <c r="G22" s="153">
        <v>2153</v>
      </c>
      <c r="I22" s="153">
        <v>305</v>
      </c>
      <c r="J22" s="155">
        <v>2458</v>
      </c>
      <c r="K22" s="82"/>
      <c r="L22" s="82"/>
      <c r="M22" s="82"/>
    </row>
    <row r="23" spans="1:13" ht="9" customHeight="1">
      <c r="A23" s="324" t="s">
        <v>170</v>
      </c>
      <c r="B23" s="324" t="s">
        <v>209</v>
      </c>
      <c r="C23" s="328" t="s">
        <v>554</v>
      </c>
      <c r="D23" s="152">
        <v>1256</v>
      </c>
      <c r="E23" s="343" t="s">
        <v>1</v>
      </c>
      <c r="F23" s="343" t="s">
        <v>1</v>
      </c>
      <c r="G23" s="153">
        <v>1256</v>
      </c>
      <c r="I23" s="153">
        <v>141</v>
      </c>
      <c r="J23" s="154">
        <v>1397</v>
      </c>
      <c r="K23" s="82"/>
      <c r="L23" s="121"/>
      <c r="M23" s="122"/>
    </row>
    <row r="24" spans="1:13" ht="8.25">
      <c r="A24" s="324" t="s">
        <v>172</v>
      </c>
      <c r="B24" s="324" t="s">
        <v>210</v>
      </c>
      <c r="C24" s="328" t="s">
        <v>538</v>
      </c>
      <c r="D24" s="152">
        <v>702</v>
      </c>
      <c r="E24" s="152">
        <v>309</v>
      </c>
      <c r="F24" s="343" t="s">
        <v>1</v>
      </c>
      <c r="G24" s="153">
        <v>1011</v>
      </c>
      <c r="I24" s="153">
        <v>313</v>
      </c>
      <c r="J24" s="155">
        <v>1324</v>
      </c>
      <c r="K24" s="82"/>
      <c r="L24" s="82"/>
      <c r="M24" s="82"/>
    </row>
    <row r="25" spans="1:13" ht="9" customHeight="1">
      <c r="A25" s="324" t="s">
        <v>174</v>
      </c>
      <c r="B25" s="324" t="s">
        <v>211</v>
      </c>
      <c r="C25" s="328" t="s">
        <v>539</v>
      </c>
      <c r="D25" s="152">
        <v>928</v>
      </c>
      <c r="E25" s="152">
        <v>175</v>
      </c>
      <c r="F25" s="343" t="s">
        <v>1</v>
      </c>
      <c r="G25" s="153">
        <v>1103</v>
      </c>
      <c r="I25" s="153">
        <v>27</v>
      </c>
      <c r="J25" s="154">
        <v>1130</v>
      </c>
      <c r="K25" s="82"/>
      <c r="L25" s="121"/>
      <c r="M25" s="122"/>
    </row>
    <row r="26" spans="1:13" ht="9" customHeight="1">
      <c r="A26" s="324" t="s">
        <v>176</v>
      </c>
      <c r="B26" s="324" t="s">
        <v>212</v>
      </c>
      <c r="C26" s="328" t="s">
        <v>540</v>
      </c>
      <c r="D26" s="152">
        <v>454</v>
      </c>
      <c r="E26" s="152">
        <v>208</v>
      </c>
      <c r="F26" s="152">
        <v>184</v>
      </c>
      <c r="G26" s="153">
        <v>846</v>
      </c>
      <c r="I26" s="153">
        <v>141</v>
      </c>
      <c r="J26" s="154">
        <v>987</v>
      </c>
      <c r="K26" s="82"/>
      <c r="L26" s="120"/>
      <c r="M26" s="123"/>
    </row>
    <row r="27" spans="1:13" ht="8.25">
      <c r="A27" s="324" t="s">
        <v>178</v>
      </c>
      <c r="B27" s="324" t="s">
        <v>213</v>
      </c>
      <c r="C27" s="328" t="s">
        <v>541</v>
      </c>
      <c r="D27" s="152">
        <v>105</v>
      </c>
      <c r="E27" s="152">
        <v>49</v>
      </c>
      <c r="F27" s="152">
        <v>27</v>
      </c>
      <c r="G27" s="153">
        <v>181</v>
      </c>
      <c r="I27" s="153">
        <v>15</v>
      </c>
      <c r="J27" s="154">
        <v>196</v>
      </c>
      <c r="K27" s="82"/>
      <c r="L27" s="82"/>
      <c r="M27" s="82"/>
    </row>
    <row r="28" spans="1:13" ht="8.25">
      <c r="A28" s="324" t="s">
        <v>180</v>
      </c>
      <c r="B28" s="324" t="s">
        <v>214</v>
      </c>
      <c r="C28" s="328" t="s">
        <v>555</v>
      </c>
      <c r="D28" s="152">
        <v>1977</v>
      </c>
      <c r="E28" s="152">
        <v>617</v>
      </c>
      <c r="F28" s="152">
        <v>269</v>
      </c>
      <c r="G28" s="153">
        <v>2863</v>
      </c>
      <c r="I28" s="153">
        <v>90</v>
      </c>
      <c r="J28" s="154">
        <v>2953</v>
      </c>
      <c r="K28" s="82"/>
      <c r="L28" s="82"/>
      <c r="M28" s="82"/>
    </row>
    <row r="29" spans="1:13" ht="8.25">
      <c r="A29" s="324" t="s">
        <v>181</v>
      </c>
      <c r="B29" s="324" t="s">
        <v>215</v>
      </c>
      <c r="C29" s="328" t="s">
        <v>542</v>
      </c>
      <c r="D29" s="337">
        <v>112</v>
      </c>
      <c r="E29" s="337">
        <v>52</v>
      </c>
      <c r="F29" s="337">
        <v>8</v>
      </c>
      <c r="G29" s="337">
        <v>172</v>
      </c>
      <c r="H29" s="337"/>
      <c r="I29" s="337">
        <v>7</v>
      </c>
      <c r="J29" s="337">
        <v>179</v>
      </c>
      <c r="K29" s="82"/>
      <c r="L29" s="82"/>
      <c r="M29" s="82"/>
    </row>
    <row r="30" spans="1:13" ht="7.5" customHeight="1">
      <c r="A30" s="324" t="s">
        <v>183</v>
      </c>
      <c r="B30" s="324" t="s">
        <v>216</v>
      </c>
      <c r="C30" s="328" t="s">
        <v>543</v>
      </c>
      <c r="D30" s="337">
        <v>1087</v>
      </c>
      <c r="E30" s="337">
        <v>200</v>
      </c>
      <c r="F30" s="337">
        <v>140</v>
      </c>
      <c r="G30" s="337">
        <v>1427</v>
      </c>
      <c r="H30" s="337"/>
      <c r="I30" s="337">
        <v>218</v>
      </c>
      <c r="J30" s="337">
        <v>1645</v>
      </c>
      <c r="K30" s="82"/>
      <c r="L30" s="82"/>
      <c r="M30" s="122"/>
    </row>
    <row r="31" spans="1:10" s="82" customFormat="1" ht="9" customHeight="1">
      <c r="A31" s="324" t="s">
        <v>188</v>
      </c>
      <c r="B31" s="324" t="s">
        <v>217</v>
      </c>
      <c r="C31" s="328" t="s">
        <v>544</v>
      </c>
      <c r="D31" s="152">
        <v>256</v>
      </c>
      <c r="E31" s="152">
        <v>80</v>
      </c>
      <c r="F31" s="152">
        <v>49</v>
      </c>
      <c r="G31" s="156">
        <v>385</v>
      </c>
      <c r="I31" s="156">
        <v>35</v>
      </c>
      <c r="J31" s="158">
        <v>420</v>
      </c>
    </row>
    <row r="32" spans="1:10" ht="9" customHeight="1">
      <c r="A32" s="324" t="s">
        <v>190</v>
      </c>
      <c r="B32" s="324" t="s">
        <v>218</v>
      </c>
      <c r="C32" s="328" t="s">
        <v>556</v>
      </c>
      <c r="D32" s="156">
        <v>675</v>
      </c>
      <c r="E32" s="156">
        <v>356</v>
      </c>
      <c r="F32" s="156">
        <v>166</v>
      </c>
      <c r="G32" s="156">
        <v>1197</v>
      </c>
      <c r="I32" s="156">
        <v>65</v>
      </c>
      <c r="J32" s="156">
        <v>1262</v>
      </c>
    </row>
    <row r="33" spans="1:10" ht="9" customHeight="1">
      <c r="A33" s="159" t="s">
        <v>0</v>
      </c>
      <c r="B33" s="159"/>
      <c r="C33" s="159"/>
      <c r="D33" s="160">
        <v>26434</v>
      </c>
      <c r="E33" s="160">
        <v>5480</v>
      </c>
      <c r="F33" s="160">
        <v>2876</v>
      </c>
      <c r="G33" s="160">
        <v>34790</v>
      </c>
      <c r="I33" s="160">
        <v>3006</v>
      </c>
      <c r="J33" s="160">
        <v>37796</v>
      </c>
    </row>
    <row r="34" spans="1:10" ht="8.25">
      <c r="A34" s="128"/>
      <c r="B34" s="128"/>
      <c r="C34" s="128"/>
      <c r="D34" s="157"/>
      <c r="E34" s="157"/>
      <c r="F34" s="157"/>
      <c r="G34" s="157"/>
      <c r="H34" s="157"/>
      <c r="I34" s="157"/>
      <c r="J34" s="157"/>
    </row>
    <row r="36" ht="8.25">
      <c r="A36" s="124" t="s">
        <v>219</v>
      </c>
    </row>
    <row r="37" ht="8.25">
      <c r="A37" s="5" t="s">
        <v>223</v>
      </c>
    </row>
    <row r="38" ht="8.25">
      <c r="A38" s="5"/>
    </row>
    <row r="40" ht="8.25">
      <c r="A40" s="5"/>
    </row>
    <row r="41" ht="8.25">
      <c r="A41" s="5"/>
    </row>
    <row r="65" spans="1:2" ht="8.25">
      <c r="A65" s="39"/>
      <c r="B65" s="39"/>
    </row>
    <row r="66" spans="1:2" ht="13.5">
      <c r="A66" s="129"/>
      <c r="B66" s="129"/>
    </row>
    <row r="67" spans="1:2" ht="13.5">
      <c r="A67" s="129"/>
      <c r="B67" s="129"/>
    </row>
  </sheetData>
  <mergeCells count="7">
    <mergeCell ref="J4:J6"/>
    <mergeCell ref="A4:A6"/>
    <mergeCell ref="B4:B6"/>
    <mergeCell ref="C4:C6"/>
    <mergeCell ref="D4:G4"/>
    <mergeCell ref="I4:I6"/>
    <mergeCell ref="H4:H6"/>
  </mergeCells>
  <printOptions horizontalCentered="1"/>
  <pageMargins left="1.1811023622047245" right="1.1811023622047245" top="1.1811023622047245" bottom="1.5748031496062993" header="0" footer="1.2598425196850394"/>
  <pageSetup firstPageNumber="185" useFirstPageNumber="1" horizontalDpi="300" verticalDpi="300" orientation="portrait" paperSize="9" r:id="rId1"/>
  <headerFooter alignWithMargins="0">
    <oddFooter>&amp;C&amp;9 185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J32" sqref="J32"/>
    </sheetView>
  </sheetViews>
  <sheetFormatPr defaultColWidth="9.140625" defaultRowHeight="12.75"/>
  <cols>
    <col min="1" max="1" width="15.421875" style="144" customWidth="1"/>
    <col min="2" max="2" width="5.8515625" style="144" customWidth="1"/>
    <col min="3" max="3" width="30.140625" style="144" customWidth="1"/>
    <col min="4" max="4" width="5.7109375" style="135" customWidth="1"/>
    <col min="5" max="5" width="6.8515625" style="135" customWidth="1"/>
    <col min="6" max="6" width="6.421875" style="135" customWidth="1"/>
    <col min="7" max="7" width="0.71875" style="135" customWidth="1"/>
    <col min="8" max="8" width="5.57421875" style="135" customWidth="1"/>
    <col min="9" max="9" width="5.28125" style="135" customWidth="1"/>
    <col min="10" max="10" width="6.421875" style="135" customWidth="1"/>
    <col min="11" max="16384" width="9.140625" style="135" customWidth="1"/>
  </cols>
  <sheetData>
    <row r="1" spans="1:8" ht="9" customHeight="1">
      <c r="A1" s="39"/>
      <c r="B1" s="39"/>
      <c r="C1" s="39"/>
      <c r="D1" s="13"/>
      <c r="E1" s="13"/>
      <c r="F1" s="13"/>
      <c r="G1" s="13"/>
      <c r="H1" s="13"/>
    </row>
    <row r="2" spans="1:8" ht="12" customHeight="1">
      <c r="A2" s="126" t="s">
        <v>585</v>
      </c>
      <c r="B2" s="126"/>
      <c r="C2" s="39"/>
      <c r="D2" s="13"/>
      <c r="E2" s="13"/>
      <c r="F2" s="136"/>
      <c r="G2" s="136"/>
      <c r="H2" s="136"/>
    </row>
    <row r="3" spans="1:8" ht="9" customHeight="1">
      <c r="A3" s="126" t="s">
        <v>221</v>
      </c>
      <c r="B3" s="126"/>
      <c r="C3" s="39"/>
      <c r="D3" s="13"/>
      <c r="E3" s="13"/>
      <c r="F3" s="136"/>
      <c r="G3" s="136"/>
      <c r="H3" s="136"/>
    </row>
    <row r="4" spans="1:9" s="137" customFormat="1" ht="24" customHeight="1">
      <c r="A4" s="386" t="s">
        <v>41</v>
      </c>
      <c r="B4" s="386" t="s">
        <v>193</v>
      </c>
      <c r="C4" s="386" t="s">
        <v>42</v>
      </c>
      <c r="D4" s="395" t="s">
        <v>89</v>
      </c>
      <c r="E4" s="395"/>
      <c r="F4" s="395"/>
      <c r="G4" s="170"/>
      <c r="H4" s="396" t="s">
        <v>88</v>
      </c>
      <c r="I4" s="396"/>
    </row>
    <row r="5" spans="1:9" s="137" customFormat="1" ht="12.75" customHeight="1">
      <c r="A5" s="388"/>
      <c r="B5" s="388"/>
      <c r="C5" s="388"/>
      <c r="D5" s="171">
        <v>1995</v>
      </c>
      <c r="E5" s="171">
        <v>1997</v>
      </c>
      <c r="F5" s="336">
        <v>1999</v>
      </c>
      <c r="G5" s="24"/>
      <c r="H5" s="171" t="s">
        <v>112</v>
      </c>
      <c r="I5" s="171" t="s">
        <v>558</v>
      </c>
    </row>
    <row r="6" spans="1:8" s="137" customFormat="1" ht="9" customHeight="1">
      <c r="A6" s="145"/>
      <c r="B6" s="145"/>
      <c r="C6" s="145"/>
      <c r="D6" s="24"/>
      <c r="E6" s="24"/>
      <c r="G6" s="24"/>
      <c r="H6" s="25"/>
    </row>
    <row r="7" spans="1:9" s="18" customFormat="1" ht="18" customHeight="1">
      <c r="A7" s="67" t="s">
        <v>142</v>
      </c>
      <c r="B7" s="67" t="s">
        <v>195</v>
      </c>
      <c r="C7" s="67" t="s">
        <v>586</v>
      </c>
      <c r="D7" s="161">
        <v>3679</v>
      </c>
      <c r="E7" s="161">
        <v>4039</v>
      </c>
      <c r="F7" s="161">
        <v>3789</v>
      </c>
      <c r="G7" s="46"/>
      <c r="H7" s="163">
        <f>(E7-D7)/D7*100</f>
        <v>9.785267735797772</v>
      </c>
      <c r="I7" s="163">
        <f>(F7-E7)/E7*100</f>
        <v>-6.189650903689032</v>
      </c>
    </row>
    <row r="8" spans="1:9" s="18" customFormat="1" ht="18" customHeight="1">
      <c r="A8" s="67" t="s">
        <v>222</v>
      </c>
      <c r="B8" s="67" t="s">
        <v>145</v>
      </c>
      <c r="C8" s="67" t="s">
        <v>587</v>
      </c>
      <c r="D8" s="161">
        <v>200</v>
      </c>
      <c r="E8" s="161">
        <v>860</v>
      </c>
      <c r="F8" s="161">
        <v>860</v>
      </c>
      <c r="G8" s="46"/>
      <c r="H8" s="163">
        <f>(E8-D8)/D8*100</f>
        <v>330</v>
      </c>
      <c r="I8" s="164" t="s">
        <v>588</v>
      </c>
    </row>
    <row r="9" spans="1:9" s="18" customFormat="1" ht="18" customHeight="1">
      <c r="A9" s="67" t="s">
        <v>146</v>
      </c>
      <c r="B9" s="67" t="s">
        <v>196</v>
      </c>
      <c r="C9" s="67" t="s">
        <v>589</v>
      </c>
      <c r="D9" s="161">
        <v>3729</v>
      </c>
      <c r="E9" s="161">
        <v>4292</v>
      </c>
      <c r="F9" s="161">
        <v>3398</v>
      </c>
      <c r="G9" s="46"/>
      <c r="H9" s="163">
        <f>(E9-D9)/D9*100</f>
        <v>15.097881469562886</v>
      </c>
      <c r="I9" s="163">
        <f aca="true" t="shared" si="0" ref="I9:I15">(F9-E9)/E9*100</f>
        <v>-20.829450139794968</v>
      </c>
    </row>
    <row r="10" spans="1:9" s="18" customFormat="1" ht="18" customHeight="1">
      <c r="A10" s="67" t="s">
        <v>148</v>
      </c>
      <c r="B10" s="67" t="s">
        <v>197</v>
      </c>
      <c r="C10" s="67" t="s">
        <v>590</v>
      </c>
      <c r="D10" s="161">
        <v>32096</v>
      </c>
      <c r="E10" s="161">
        <v>44563</v>
      </c>
      <c r="F10" s="161">
        <v>47664</v>
      </c>
      <c r="G10" s="46"/>
      <c r="H10" s="163">
        <f>(E10-D10)/D10*100</f>
        <v>38.84284646061815</v>
      </c>
      <c r="I10" s="163">
        <f t="shared" si="0"/>
        <v>6.958687700558759</v>
      </c>
    </row>
    <row r="11" spans="1:9" s="18" customFormat="1" ht="9" customHeight="1">
      <c r="A11" s="67" t="s">
        <v>150</v>
      </c>
      <c r="B11" s="67" t="s">
        <v>198</v>
      </c>
      <c r="C11" s="67" t="s">
        <v>591</v>
      </c>
      <c r="D11" s="161">
        <v>28140</v>
      </c>
      <c r="E11" s="161">
        <v>29190</v>
      </c>
      <c r="F11" s="161">
        <v>29748</v>
      </c>
      <c r="G11" s="46"/>
      <c r="H11" s="163">
        <f>(E11-D11)/D11*100</f>
        <v>3.731343283582089</v>
      </c>
      <c r="I11" s="163">
        <f t="shared" si="0"/>
        <v>1.9116135662898253</v>
      </c>
    </row>
    <row r="12" spans="1:9" s="18" customFormat="1" ht="18" customHeight="1">
      <c r="A12" s="67" t="s">
        <v>152</v>
      </c>
      <c r="B12" s="67" t="s">
        <v>199</v>
      </c>
      <c r="C12" s="67" t="s">
        <v>592</v>
      </c>
      <c r="D12" s="161">
        <v>1847</v>
      </c>
      <c r="E12" s="161">
        <v>1901</v>
      </c>
      <c r="F12" s="161">
        <v>1496</v>
      </c>
      <c r="G12" s="46"/>
      <c r="H12" s="163">
        <f>(E12-D12)/D12*100</f>
        <v>2.9236599891716297</v>
      </c>
      <c r="I12" s="163">
        <f t="shared" si="0"/>
        <v>-21.30457653866386</v>
      </c>
    </row>
    <row r="13" spans="1:9" s="18" customFormat="1" ht="18" customHeight="1">
      <c r="A13" s="67" t="s">
        <v>154</v>
      </c>
      <c r="B13" s="67" t="s">
        <v>200</v>
      </c>
      <c r="C13" s="67" t="s">
        <v>593</v>
      </c>
      <c r="D13" s="172" t="s">
        <v>1</v>
      </c>
      <c r="E13" s="161">
        <v>247</v>
      </c>
      <c r="F13" s="161">
        <v>299</v>
      </c>
      <c r="G13" s="91"/>
      <c r="H13" s="164" t="s">
        <v>1</v>
      </c>
      <c r="I13" s="163">
        <f t="shared" si="0"/>
        <v>21.052631578947366</v>
      </c>
    </row>
    <row r="14" spans="1:9" s="18" customFormat="1" ht="18" customHeight="1">
      <c r="A14" s="67" t="s">
        <v>156</v>
      </c>
      <c r="B14" s="67" t="s">
        <v>201</v>
      </c>
      <c r="C14" s="67" t="s">
        <v>594</v>
      </c>
      <c r="D14" s="161">
        <v>10923</v>
      </c>
      <c r="E14" s="161">
        <v>11145</v>
      </c>
      <c r="F14" s="161">
        <v>25066</v>
      </c>
      <c r="G14" s="46"/>
      <c r="H14" s="163">
        <f>(E14-D14)/D14*100</f>
        <v>2.0324086789343587</v>
      </c>
      <c r="I14" s="163">
        <f t="shared" si="0"/>
        <v>124.90803050695378</v>
      </c>
    </row>
    <row r="15" spans="1:9" s="18" customFormat="1" ht="18" customHeight="1">
      <c r="A15" s="67" t="s">
        <v>158</v>
      </c>
      <c r="B15" s="67" t="s">
        <v>202</v>
      </c>
      <c r="C15" s="67" t="s">
        <v>595</v>
      </c>
      <c r="D15" s="172" t="s">
        <v>1</v>
      </c>
      <c r="E15" s="161">
        <v>18315</v>
      </c>
      <c r="F15" s="161">
        <v>26598</v>
      </c>
      <c r="G15" s="91"/>
      <c r="H15" s="164" t="s">
        <v>1</v>
      </c>
      <c r="I15" s="163">
        <f t="shared" si="0"/>
        <v>45.22522522522522</v>
      </c>
    </row>
    <row r="16" spans="1:9" s="18" customFormat="1" ht="18" customHeight="1">
      <c r="A16" s="67" t="s">
        <v>160</v>
      </c>
      <c r="B16" s="67" t="s">
        <v>203</v>
      </c>
      <c r="C16" s="67" t="s">
        <v>596</v>
      </c>
      <c r="D16" s="161">
        <v>4687</v>
      </c>
      <c r="E16" s="161">
        <v>3970</v>
      </c>
      <c r="F16" s="161">
        <v>3970</v>
      </c>
      <c r="G16" s="46"/>
      <c r="H16" s="163">
        <f aca="true" t="shared" si="1" ref="H16:H22">(E16-D16)/D16*100</f>
        <v>-15.297631747386387</v>
      </c>
      <c r="I16" s="164" t="s">
        <v>588</v>
      </c>
    </row>
    <row r="17" spans="1:9" s="18" customFormat="1" ht="18" customHeight="1">
      <c r="A17" s="309" t="s">
        <v>708</v>
      </c>
      <c r="B17" s="309" t="s">
        <v>709</v>
      </c>
      <c r="C17" s="67" t="s">
        <v>710</v>
      </c>
      <c r="D17" s="161">
        <v>600</v>
      </c>
      <c r="E17" s="161">
        <v>617</v>
      </c>
      <c r="F17" s="161">
        <v>5619</v>
      </c>
      <c r="G17" s="46"/>
      <c r="H17" s="163">
        <f t="shared" si="1"/>
        <v>2.833333333333333</v>
      </c>
      <c r="I17" s="163">
        <f aca="true" t="shared" si="2" ref="I17:I29">(F17-E17)/E17*100</f>
        <v>810.6969205834683</v>
      </c>
    </row>
    <row r="18" spans="1:9" s="18" customFormat="1" ht="18" customHeight="1">
      <c r="A18" s="67" t="s">
        <v>162</v>
      </c>
      <c r="B18" s="67" t="s">
        <v>204</v>
      </c>
      <c r="C18" s="67" t="s">
        <v>597</v>
      </c>
      <c r="D18" s="161">
        <v>11316</v>
      </c>
      <c r="E18" s="161">
        <v>12463</v>
      </c>
      <c r="F18" s="161">
        <v>652</v>
      </c>
      <c r="G18" s="46"/>
      <c r="H18" s="163">
        <f t="shared" si="1"/>
        <v>10.136090491339695</v>
      </c>
      <c r="I18" s="163">
        <f t="shared" si="2"/>
        <v>-94.7685148038193</v>
      </c>
    </row>
    <row r="19" spans="1:9" s="18" customFormat="1" ht="9" customHeight="1">
      <c r="A19" s="67" t="s">
        <v>164</v>
      </c>
      <c r="B19" s="67" t="s">
        <v>205</v>
      </c>
      <c r="C19" s="67" t="s">
        <v>598</v>
      </c>
      <c r="D19" s="161">
        <v>1250</v>
      </c>
      <c r="E19" s="161">
        <v>1004</v>
      </c>
      <c r="F19" s="161">
        <v>13056</v>
      </c>
      <c r="G19" s="46"/>
      <c r="H19" s="163">
        <f t="shared" si="1"/>
        <v>-19.68</v>
      </c>
      <c r="I19" s="163">
        <f t="shared" si="2"/>
        <v>1200.398406374502</v>
      </c>
    </row>
    <row r="20" spans="1:9" s="18" customFormat="1" ht="18" customHeight="1">
      <c r="A20" s="67" t="s">
        <v>206</v>
      </c>
      <c r="B20" s="67" t="s">
        <v>207</v>
      </c>
      <c r="C20" s="67" t="s">
        <v>599</v>
      </c>
      <c r="D20" s="161">
        <v>10939</v>
      </c>
      <c r="E20" s="161">
        <v>11814</v>
      </c>
      <c r="F20" s="161">
        <v>1107</v>
      </c>
      <c r="G20" s="46"/>
      <c r="H20" s="163">
        <f t="shared" si="1"/>
        <v>7.998903007587531</v>
      </c>
      <c r="I20" s="163">
        <f t="shared" si="2"/>
        <v>-90.62976130015235</v>
      </c>
    </row>
    <row r="21" spans="1:9" s="18" customFormat="1" ht="9" customHeight="1">
      <c r="A21" s="67" t="s">
        <v>168</v>
      </c>
      <c r="B21" s="67" t="s">
        <v>208</v>
      </c>
      <c r="C21" s="67" t="s">
        <v>600</v>
      </c>
      <c r="D21" s="161">
        <v>5963</v>
      </c>
      <c r="E21" s="161">
        <v>7354</v>
      </c>
      <c r="F21" s="161">
        <v>11232</v>
      </c>
      <c r="G21" s="46"/>
      <c r="H21" s="163">
        <f t="shared" si="1"/>
        <v>23.327184303203087</v>
      </c>
      <c r="I21" s="163">
        <f t="shared" si="2"/>
        <v>52.73320641827577</v>
      </c>
    </row>
    <row r="22" spans="1:9" s="18" customFormat="1" ht="18" customHeight="1">
      <c r="A22" s="67" t="s">
        <v>170</v>
      </c>
      <c r="B22" s="67" t="s">
        <v>209</v>
      </c>
      <c r="C22" s="67" t="s">
        <v>601</v>
      </c>
      <c r="D22" s="161">
        <v>2409</v>
      </c>
      <c r="E22" s="161">
        <v>4176</v>
      </c>
      <c r="F22" s="161">
        <v>5453</v>
      </c>
      <c r="G22" s="46"/>
      <c r="H22" s="163">
        <f t="shared" si="1"/>
        <v>73.34993773349939</v>
      </c>
      <c r="I22" s="163">
        <f t="shared" si="2"/>
        <v>30.57950191570881</v>
      </c>
    </row>
    <row r="23" spans="1:9" s="18" customFormat="1" ht="18" customHeight="1">
      <c r="A23" s="67" t="s">
        <v>172</v>
      </c>
      <c r="B23" s="67" t="s">
        <v>210</v>
      </c>
      <c r="C23" s="67" t="s">
        <v>602</v>
      </c>
      <c r="D23" s="172" t="s">
        <v>1</v>
      </c>
      <c r="E23" s="161">
        <v>3000</v>
      </c>
      <c r="F23" s="161">
        <v>3451</v>
      </c>
      <c r="G23" s="91"/>
      <c r="H23" s="164" t="s">
        <v>1</v>
      </c>
      <c r="I23" s="163">
        <f t="shared" si="2"/>
        <v>15.033333333333335</v>
      </c>
    </row>
    <row r="24" spans="1:9" s="18" customFormat="1" ht="18" customHeight="1">
      <c r="A24" s="67" t="s">
        <v>174</v>
      </c>
      <c r="B24" s="67" t="s">
        <v>211</v>
      </c>
      <c r="C24" s="67" t="s">
        <v>603</v>
      </c>
      <c r="D24" s="161">
        <v>8668</v>
      </c>
      <c r="E24" s="161">
        <v>9396</v>
      </c>
      <c r="F24" s="161">
        <v>2386</v>
      </c>
      <c r="G24" s="46"/>
      <c r="H24" s="163">
        <f>(E24-D24)/D24*100</f>
        <v>8.398707891093677</v>
      </c>
      <c r="I24" s="163">
        <f t="shared" si="2"/>
        <v>-74.60621541081312</v>
      </c>
    </row>
    <row r="25" spans="1:9" s="18" customFormat="1" ht="18" customHeight="1">
      <c r="A25" s="67" t="s">
        <v>176</v>
      </c>
      <c r="B25" s="67" t="s">
        <v>212</v>
      </c>
      <c r="C25" s="67" t="s">
        <v>604</v>
      </c>
      <c r="D25" s="172" t="s">
        <v>1</v>
      </c>
      <c r="E25" s="161">
        <v>600</v>
      </c>
      <c r="F25" s="161">
        <v>9460</v>
      </c>
      <c r="G25" s="91"/>
      <c r="H25" s="164" t="s">
        <v>1</v>
      </c>
      <c r="I25" s="163">
        <f t="shared" si="2"/>
        <v>1476.6666666666667</v>
      </c>
    </row>
    <row r="26" spans="1:9" s="18" customFormat="1" ht="18" customHeight="1">
      <c r="A26" s="67" t="s">
        <v>178</v>
      </c>
      <c r="B26" s="67" t="s">
        <v>213</v>
      </c>
      <c r="C26" s="67" t="s">
        <v>605</v>
      </c>
      <c r="D26" s="161">
        <v>17508</v>
      </c>
      <c r="E26" s="161">
        <v>16821</v>
      </c>
      <c r="F26" s="161">
        <v>550</v>
      </c>
      <c r="G26" s="46"/>
      <c r="H26" s="163">
        <f>(E26-D26)/D26*100</f>
        <v>-3.923920493488691</v>
      </c>
      <c r="I26" s="163">
        <f t="shared" si="2"/>
        <v>-96.73027762915403</v>
      </c>
    </row>
    <row r="27" spans="1:9" s="18" customFormat="1" ht="18" customHeight="1">
      <c r="A27" s="67" t="s">
        <v>180</v>
      </c>
      <c r="B27" s="67" t="s">
        <v>214</v>
      </c>
      <c r="C27" s="67" t="s">
        <v>606</v>
      </c>
      <c r="D27" s="161">
        <v>209</v>
      </c>
      <c r="E27" s="161">
        <v>229</v>
      </c>
      <c r="F27" s="161">
        <v>13405</v>
      </c>
      <c r="G27" s="46"/>
      <c r="H27" s="163">
        <f>(E27-D27)/D27*100</f>
        <v>9.569377990430622</v>
      </c>
      <c r="I27" s="163">
        <f t="shared" si="2"/>
        <v>5753.711790393013</v>
      </c>
    </row>
    <row r="28" spans="1:9" s="18" customFormat="1" ht="18" customHeight="1">
      <c r="A28" s="67" t="s">
        <v>181</v>
      </c>
      <c r="B28" s="67" t="s">
        <v>215</v>
      </c>
      <c r="C28" s="67" t="s">
        <v>607</v>
      </c>
      <c r="D28" s="161">
        <v>3745</v>
      </c>
      <c r="E28" s="161">
        <v>5384</v>
      </c>
      <c r="F28" s="161">
        <v>288</v>
      </c>
      <c r="G28" s="46"/>
      <c r="H28" s="163">
        <f>(E28-D28)/D28*100</f>
        <v>43.76502002670227</v>
      </c>
      <c r="I28" s="163">
        <f t="shared" si="2"/>
        <v>-94.65081723625556</v>
      </c>
    </row>
    <row r="29" spans="1:9" s="18" customFormat="1" ht="18" customHeight="1">
      <c r="A29" s="67" t="s">
        <v>183</v>
      </c>
      <c r="B29" s="67" t="s">
        <v>216</v>
      </c>
      <c r="C29" s="67" t="s">
        <v>608</v>
      </c>
      <c r="D29" s="161">
        <v>12821</v>
      </c>
      <c r="E29" s="161">
        <v>12668</v>
      </c>
      <c r="F29" s="161">
        <v>6203</v>
      </c>
      <c r="G29" s="46"/>
      <c r="H29" s="163">
        <f>(E29-D29)/D29*100</f>
        <v>-1.1933546525232042</v>
      </c>
      <c r="I29" s="163">
        <f t="shared" si="2"/>
        <v>-51.03410167350805</v>
      </c>
    </row>
    <row r="30" spans="1:9" s="18" customFormat="1" ht="18" customHeight="1">
      <c r="A30" s="67" t="s">
        <v>188</v>
      </c>
      <c r="B30" s="67" t="s">
        <v>217</v>
      </c>
      <c r="C30" s="67" t="s">
        <v>609</v>
      </c>
      <c r="D30" s="161">
        <v>1554</v>
      </c>
      <c r="E30" s="161">
        <v>1685</v>
      </c>
      <c r="F30" s="161">
        <v>1685</v>
      </c>
      <c r="G30" s="46"/>
      <c r="H30" s="163">
        <f>(E30-D30)/D30*100</f>
        <v>8.42985842985843</v>
      </c>
      <c r="I30" s="164" t="s">
        <v>588</v>
      </c>
    </row>
    <row r="31" spans="1:9" s="18" customFormat="1" ht="18" customHeight="1">
      <c r="A31" s="67" t="s">
        <v>190</v>
      </c>
      <c r="B31" s="67" t="s">
        <v>218</v>
      </c>
      <c r="C31" s="67" t="s">
        <v>610</v>
      </c>
      <c r="D31" s="172" t="s">
        <v>1</v>
      </c>
      <c r="E31" s="161">
        <v>3845</v>
      </c>
      <c r="F31" s="161">
        <v>6830</v>
      </c>
      <c r="G31" s="91"/>
      <c r="H31" s="164" t="s">
        <v>1</v>
      </c>
      <c r="I31" s="163">
        <f>(F31-E31)/E31*100</f>
        <v>77.6332899869961</v>
      </c>
    </row>
    <row r="32" spans="1:9" s="18" customFormat="1" ht="18" customHeight="1">
      <c r="A32" s="166" t="s">
        <v>0</v>
      </c>
      <c r="B32" s="166"/>
      <c r="C32" s="166"/>
      <c r="D32" s="162">
        <v>161483</v>
      </c>
      <c r="E32" s="162">
        <v>209578</v>
      </c>
      <c r="F32" s="344">
        <f>SUM(F7:F31)</f>
        <v>224265</v>
      </c>
      <c r="G32" s="162"/>
      <c r="H32" s="165">
        <f>(E32-D32)/D32*100</f>
        <v>29.78332084491866</v>
      </c>
      <c r="I32" s="165">
        <f>(F32-E32)/E32*100</f>
        <v>7.007892049738045</v>
      </c>
    </row>
    <row r="33" spans="1:9" s="18" customFormat="1" ht="9" customHeight="1">
      <c r="A33" s="43"/>
      <c r="B33" s="134"/>
      <c r="C33" s="134"/>
      <c r="D33" s="167"/>
      <c r="E33" s="167"/>
      <c r="F33" s="168"/>
      <c r="G33" s="169"/>
      <c r="H33" s="169"/>
      <c r="I33" s="138"/>
    </row>
    <row r="34" spans="1:9" ht="6" customHeight="1">
      <c r="A34" s="67"/>
      <c r="B34" s="67"/>
      <c r="C34" s="67"/>
      <c r="D34" s="18"/>
      <c r="H34" s="137"/>
      <c r="I34" s="137"/>
    </row>
    <row r="35" spans="1:12" ht="9" customHeight="1">
      <c r="A35" s="124" t="s">
        <v>219</v>
      </c>
      <c r="B35" s="67"/>
      <c r="C35" s="67"/>
      <c r="D35" s="18"/>
      <c r="H35" s="137"/>
      <c r="I35" s="137"/>
      <c r="J35" s="137"/>
      <c r="K35" s="137"/>
      <c r="L35" s="137"/>
    </row>
    <row r="36" spans="1:12" ht="9" customHeight="1">
      <c r="A36" s="124"/>
      <c r="B36" s="67"/>
      <c r="C36" s="67"/>
      <c r="D36" s="18"/>
      <c r="H36" s="137"/>
      <c r="I36" s="137"/>
      <c r="J36" s="137"/>
      <c r="K36" s="137"/>
      <c r="L36" s="137"/>
    </row>
    <row r="37" spans="1:12" ht="9" customHeight="1">
      <c r="A37" s="124"/>
      <c r="B37" s="67"/>
      <c r="C37" s="67"/>
      <c r="D37" s="139"/>
      <c r="E37" s="139"/>
      <c r="F37" s="140"/>
      <c r="G37" s="141"/>
      <c r="H37" s="141"/>
      <c r="J37" s="137"/>
      <c r="K37" s="137"/>
      <c r="L37" s="137"/>
    </row>
    <row r="38" spans="2:8" ht="13.5">
      <c r="B38" s="129"/>
      <c r="C38" s="146"/>
      <c r="D38" s="139"/>
      <c r="E38" s="139"/>
      <c r="F38" s="140"/>
      <c r="G38" s="141"/>
      <c r="H38" s="141"/>
    </row>
    <row r="39" spans="2:8" ht="13.5">
      <c r="B39" s="129"/>
      <c r="D39" s="139"/>
      <c r="E39" s="139"/>
      <c r="F39" s="140"/>
      <c r="G39" s="142"/>
      <c r="H39" s="141"/>
    </row>
    <row r="40" spans="2:8" ht="13.5">
      <c r="B40" s="129"/>
      <c r="C40" s="146"/>
      <c r="D40" s="139"/>
      <c r="E40" s="139"/>
      <c r="F40" s="140"/>
      <c r="G40" s="141"/>
      <c r="H40" s="141"/>
    </row>
    <row r="41" spans="2:8" ht="13.5">
      <c r="B41" s="129"/>
      <c r="C41" s="146"/>
      <c r="D41" s="139"/>
      <c r="E41" s="139"/>
      <c r="F41" s="140"/>
      <c r="G41" s="141"/>
      <c r="H41" s="141"/>
    </row>
    <row r="42" spans="2:8" ht="13.5">
      <c r="B42" s="129"/>
      <c r="C42" s="146"/>
      <c r="D42" s="139"/>
      <c r="E42" s="139"/>
      <c r="F42" s="140"/>
      <c r="G42" s="141"/>
      <c r="H42" s="141"/>
    </row>
    <row r="43" spans="2:8" ht="13.5">
      <c r="B43" s="129"/>
      <c r="C43" s="146"/>
      <c r="D43" s="139"/>
      <c r="E43" s="139"/>
      <c r="F43" s="140"/>
      <c r="G43" s="141"/>
      <c r="H43" s="141"/>
    </row>
    <row r="44" spans="2:8" ht="13.5">
      <c r="B44" s="129"/>
      <c r="C44" s="146"/>
      <c r="D44" s="139"/>
      <c r="E44" s="139"/>
      <c r="F44" s="140"/>
      <c r="G44" s="141"/>
      <c r="H44" s="141"/>
    </row>
    <row r="45" spans="2:8" ht="13.5">
      <c r="B45" s="129"/>
      <c r="C45" s="146"/>
      <c r="D45" s="139"/>
      <c r="E45" s="139"/>
      <c r="F45" s="140"/>
      <c r="G45" s="141"/>
      <c r="H45" s="141"/>
    </row>
    <row r="46" spans="2:8" ht="13.5">
      <c r="B46" s="129"/>
      <c r="C46" s="146"/>
      <c r="D46" s="139"/>
      <c r="E46" s="139"/>
      <c r="F46" s="140"/>
      <c r="G46" s="141"/>
      <c r="H46" s="141"/>
    </row>
    <row r="47" spans="2:8" ht="13.5">
      <c r="B47" s="129"/>
      <c r="C47" s="146"/>
      <c r="D47" s="139"/>
      <c r="E47" s="139"/>
      <c r="F47" s="140"/>
      <c r="G47" s="141"/>
      <c r="H47" s="141"/>
    </row>
    <row r="48" spans="2:8" ht="13.5">
      <c r="B48" s="129"/>
      <c r="C48" s="146"/>
      <c r="D48" s="139"/>
      <c r="E48" s="139"/>
      <c r="F48" s="140"/>
      <c r="G48" s="141"/>
      <c r="H48" s="141"/>
    </row>
    <row r="49" spans="2:8" ht="13.5">
      <c r="B49" s="129"/>
      <c r="C49" s="146"/>
      <c r="D49" s="139"/>
      <c r="E49" s="139"/>
      <c r="F49" s="140"/>
      <c r="G49" s="141"/>
      <c r="H49" s="141"/>
    </row>
    <row r="50" spans="2:8" ht="13.5">
      <c r="B50" s="129"/>
      <c r="C50" s="146"/>
      <c r="D50" s="139"/>
      <c r="E50" s="139"/>
      <c r="F50" s="140"/>
      <c r="G50" s="141"/>
      <c r="H50" s="141"/>
    </row>
    <row r="51" spans="2:8" ht="13.5">
      <c r="B51" s="129"/>
      <c r="C51" s="146"/>
      <c r="D51" s="139"/>
      <c r="E51" s="139"/>
      <c r="F51" s="140"/>
      <c r="G51" s="141"/>
      <c r="H51" s="141"/>
    </row>
    <row r="52" spans="2:8" ht="13.5">
      <c r="B52" s="129"/>
      <c r="C52" s="146"/>
      <c r="D52" s="139"/>
      <c r="E52" s="139"/>
      <c r="F52" s="140"/>
      <c r="G52" s="141"/>
      <c r="H52" s="141"/>
    </row>
    <row r="53" spans="2:8" ht="13.5">
      <c r="B53" s="129"/>
      <c r="C53" s="146"/>
      <c r="D53" s="139"/>
      <c r="E53" s="139"/>
      <c r="F53" s="140"/>
      <c r="G53" s="141"/>
      <c r="H53" s="141"/>
    </row>
    <row r="54" spans="2:8" ht="13.5">
      <c r="B54" s="129"/>
      <c r="C54" s="146"/>
      <c r="D54" s="139"/>
      <c r="E54" s="139"/>
      <c r="F54" s="140"/>
      <c r="G54" s="141"/>
      <c r="H54" s="141"/>
    </row>
    <row r="55" spans="2:8" ht="13.5">
      <c r="B55" s="129"/>
      <c r="C55" s="146"/>
      <c r="D55" s="139"/>
      <c r="E55" s="139"/>
      <c r="F55" s="140"/>
      <c r="G55" s="141"/>
      <c r="H55" s="141"/>
    </row>
    <row r="56" spans="2:8" ht="13.5">
      <c r="B56" s="129"/>
      <c r="C56" s="146"/>
      <c r="D56" s="139"/>
      <c r="E56" s="139"/>
      <c r="F56" s="140"/>
      <c r="G56" s="141"/>
      <c r="H56" s="141"/>
    </row>
    <row r="57" spans="2:8" ht="13.5">
      <c r="B57" s="129"/>
      <c r="C57" s="146"/>
      <c r="D57" s="139"/>
      <c r="E57" s="139"/>
      <c r="F57" s="140"/>
      <c r="G57" s="141"/>
      <c r="H57" s="141"/>
    </row>
    <row r="58" spans="2:8" ht="13.5">
      <c r="B58" s="129"/>
      <c r="C58" s="146"/>
      <c r="D58" s="139"/>
      <c r="E58" s="139"/>
      <c r="F58" s="140"/>
      <c r="G58" s="141"/>
      <c r="H58" s="141"/>
    </row>
    <row r="59" spans="2:8" ht="13.5">
      <c r="B59" s="129"/>
      <c r="C59" s="146"/>
      <c r="D59" s="139"/>
      <c r="E59" s="139"/>
      <c r="F59" s="140"/>
      <c r="G59" s="141"/>
      <c r="H59" s="141"/>
    </row>
    <row r="60" spans="2:8" ht="13.5">
      <c r="B60" s="129"/>
      <c r="C60" s="146"/>
      <c r="D60" s="143"/>
      <c r="E60" s="21"/>
      <c r="F60" s="139"/>
      <c r="G60" s="141"/>
      <c r="H60" s="141"/>
    </row>
    <row r="61" spans="2:8" ht="13.5">
      <c r="B61" s="129"/>
      <c r="C61" s="147"/>
      <c r="D61" s="26"/>
      <c r="E61" s="26"/>
      <c r="F61" s="30"/>
      <c r="G61" s="30"/>
      <c r="H61" s="31"/>
    </row>
    <row r="62" spans="2:8" ht="13.5">
      <c r="B62" s="129"/>
      <c r="C62" s="39"/>
      <c r="D62" s="26"/>
      <c r="E62" s="26"/>
      <c r="F62" s="26"/>
      <c r="G62" s="26"/>
      <c r="H62" s="31"/>
    </row>
    <row r="63" spans="2:8" ht="12.75">
      <c r="B63" s="148"/>
      <c r="C63" s="39"/>
      <c r="D63" s="26"/>
      <c r="E63" s="26"/>
      <c r="F63" s="26"/>
      <c r="G63" s="26"/>
      <c r="H63" s="31"/>
    </row>
    <row r="64" spans="1:3" ht="12.75">
      <c r="A64" s="39"/>
      <c r="B64" s="39"/>
      <c r="C64" s="39"/>
    </row>
    <row r="65" spans="1:2" ht="13.5">
      <c r="A65" s="129"/>
      <c r="B65" s="39"/>
    </row>
    <row r="66" spans="1:2" ht="13.5">
      <c r="A66" s="129"/>
      <c r="B66" s="39"/>
    </row>
  </sheetData>
  <mergeCells count="5">
    <mergeCell ref="D4:F4"/>
    <mergeCell ref="H4:I4"/>
    <mergeCell ref="A4:A5"/>
    <mergeCell ref="B4:B5"/>
    <mergeCell ref="C4:C5"/>
  </mergeCells>
  <printOptions horizontalCentered="1"/>
  <pageMargins left="0.984251968503937" right="0.984251968503937" top="1.1811023622047245" bottom="1.5748031496062993" header="0" footer="1.1811023622047245"/>
  <pageSetup firstPageNumber="186" useFirstPageNumber="1" horizontalDpi="300" verticalDpi="300" orientation="portrait" paperSize="9" r:id="rId1"/>
  <headerFooter alignWithMargins="0">
    <oddFooter>&amp;C&amp;9 186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C1">
      <selection activeCell="L17" sqref="L17"/>
    </sheetView>
  </sheetViews>
  <sheetFormatPr defaultColWidth="9.140625" defaultRowHeight="12.75"/>
  <cols>
    <col min="1" max="1" width="7.7109375" style="177" hidden="1" customWidth="1"/>
    <col min="2" max="2" width="0" style="177" hidden="1" customWidth="1"/>
    <col min="3" max="3" width="20.28125" style="178" customWidth="1"/>
    <col min="4" max="4" width="8.00390625" style="178" customWidth="1"/>
    <col min="5" max="5" width="0.85546875" style="178" customWidth="1"/>
    <col min="6" max="6" width="9.28125" style="179" customWidth="1"/>
    <col min="7" max="7" width="7.7109375" style="180" customWidth="1"/>
    <col min="8" max="8" width="12.421875" style="181" customWidth="1"/>
    <col min="9" max="9" width="8.28125" style="181" customWidth="1"/>
    <col min="10" max="10" width="0.85546875" style="181" customWidth="1"/>
    <col min="11" max="11" width="9.28125" style="177" customWidth="1"/>
    <col min="12" max="16384" width="9.140625" style="177" customWidth="1"/>
  </cols>
  <sheetData>
    <row r="1" ht="9" customHeight="1">
      <c r="C1" s="177"/>
    </row>
    <row r="2" ht="12" customHeight="1">
      <c r="C2" s="176" t="s">
        <v>453</v>
      </c>
    </row>
    <row r="3" ht="12" customHeight="1">
      <c r="C3" s="182" t="s">
        <v>454</v>
      </c>
    </row>
    <row r="4" ht="9" customHeight="1">
      <c r="C4" s="182"/>
    </row>
    <row r="5" spans="1:11" s="174" customFormat="1" ht="24" customHeight="1">
      <c r="A5" s="174" t="s">
        <v>224</v>
      </c>
      <c r="B5" s="175" t="s">
        <v>224</v>
      </c>
      <c r="C5" s="256" t="s">
        <v>420</v>
      </c>
      <c r="D5" s="200" t="s">
        <v>444</v>
      </c>
      <c r="E5" s="200"/>
      <c r="F5" s="202" t="s">
        <v>445</v>
      </c>
      <c r="G5" s="203"/>
      <c r="H5" s="256" t="s">
        <v>420</v>
      </c>
      <c r="I5" s="200" t="s">
        <v>444</v>
      </c>
      <c r="J5" s="200"/>
      <c r="K5" s="202" t="s">
        <v>445</v>
      </c>
    </row>
    <row r="6" spans="2:11" ht="9" customHeight="1">
      <c r="B6" s="183"/>
      <c r="C6" s="184"/>
      <c r="D6" s="185"/>
      <c r="E6" s="185"/>
      <c r="F6" s="186"/>
      <c r="G6" s="187"/>
      <c r="H6" s="184"/>
      <c r="I6" s="185"/>
      <c r="J6" s="185"/>
      <c r="K6" s="186"/>
    </row>
    <row r="7" spans="1:11" ht="9" customHeight="1">
      <c r="A7" s="177">
        <v>7</v>
      </c>
      <c r="B7" s="177">
        <v>66</v>
      </c>
      <c r="C7" s="189" t="s">
        <v>611</v>
      </c>
      <c r="D7" s="232">
        <v>356</v>
      </c>
      <c r="E7" s="232"/>
      <c r="F7" s="236">
        <v>295.8211113234671</v>
      </c>
      <c r="G7" s="177"/>
      <c r="H7" s="189" t="s">
        <v>612</v>
      </c>
      <c r="I7" s="232">
        <v>1611</v>
      </c>
      <c r="J7" s="232"/>
      <c r="K7" s="236">
        <v>146.6570655295813</v>
      </c>
    </row>
    <row r="8" spans="1:11" ht="9" customHeight="1">
      <c r="A8" s="177">
        <v>18</v>
      </c>
      <c r="B8" s="177">
        <v>7</v>
      </c>
      <c r="C8" s="189" t="s">
        <v>613</v>
      </c>
      <c r="D8" s="232">
        <v>564</v>
      </c>
      <c r="E8" s="232"/>
      <c r="F8" s="236">
        <v>253.8939407580805</v>
      </c>
      <c r="G8" s="177"/>
      <c r="H8" s="189" t="s">
        <v>614</v>
      </c>
      <c r="I8" s="232">
        <v>1121</v>
      </c>
      <c r="J8" s="232"/>
      <c r="K8" s="236">
        <v>146.33203927598927</v>
      </c>
    </row>
    <row r="9" spans="1:11" ht="9" customHeight="1">
      <c r="A9" s="177">
        <v>17</v>
      </c>
      <c r="B9" s="177">
        <v>17</v>
      </c>
      <c r="C9" s="189" t="s">
        <v>615</v>
      </c>
      <c r="D9" s="232">
        <v>211</v>
      </c>
      <c r="E9" s="232"/>
      <c r="F9" s="236">
        <v>230.42732802586028</v>
      </c>
      <c r="G9" s="177"/>
      <c r="H9" s="189" t="s">
        <v>616</v>
      </c>
      <c r="I9" s="232">
        <v>512</v>
      </c>
      <c r="J9" s="232"/>
      <c r="K9" s="236">
        <v>146.01621008082225</v>
      </c>
    </row>
    <row r="10" spans="1:11" ht="9.75" customHeight="1">
      <c r="A10" s="177">
        <v>21</v>
      </c>
      <c r="B10" s="177">
        <v>21</v>
      </c>
      <c r="C10" s="189" t="s">
        <v>617</v>
      </c>
      <c r="D10" s="232">
        <v>305</v>
      </c>
      <c r="E10" s="232"/>
      <c r="F10" s="236">
        <v>220.52709591121072</v>
      </c>
      <c r="G10" s="177"/>
      <c r="H10" s="189" t="s">
        <v>618</v>
      </c>
      <c r="I10" s="232">
        <v>1143</v>
      </c>
      <c r="J10" s="232"/>
      <c r="K10" s="236">
        <v>145.78058937191906</v>
      </c>
    </row>
    <row r="11" spans="1:11" ht="9.75" customHeight="1">
      <c r="A11" s="177">
        <v>51</v>
      </c>
      <c r="B11" s="177">
        <v>58</v>
      </c>
      <c r="C11" s="189" t="s">
        <v>619</v>
      </c>
      <c r="D11" s="232">
        <v>599</v>
      </c>
      <c r="E11" s="232"/>
      <c r="F11" s="236">
        <v>214.11133074302708</v>
      </c>
      <c r="G11" s="177"/>
      <c r="H11" s="189" t="s">
        <v>620</v>
      </c>
      <c r="I11" s="232">
        <v>582</v>
      </c>
      <c r="J11" s="232"/>
      <c r="K11" s="236">
        <v>145.50363759093977</v>
      </c>
    </row>
    <row r="12" spans="1:11" ht="9.75" customHeight="1">
      <c r="A12" s="177">
        <v>28</v>
      </c>
      <c r="B12" s="177">
        <v>28</v>
      </c>
      <c r="C12" s="189" t="s">
        <v>621</v>
      </c>
      <c r="D12" s="232">
        <v>982</v>
      </c>
      <c r="E12" s="232"/>
      <c r="F12" s="236">
        <v>212.30504473107308</v>
      </c>
      <c r="G12" s="177"/>
      <c r="H12" s="189" t="s">
        <v>622</v>
      </c>
      <c r="I12" s="232">
        <v>305</v>
      </c>
      <c r="J12" s="232"/>
      <c r="K12" s="236">
        <v>144.99850247448265</v>
      </c>
    </row>
    <row r="13" spans="1:11" ht="9.75" customHeight="1">
      <c r="A13" s="177">
        <v>58</v>
      </c>
      <c r="B13" s="177">
        <v>94</v>
      </c>
      <c r="C13" s="189" t="s">
        <v>623</v>
      </c>
      <c r="D13" s="232">
        <v>371</v>
      </c>
      <c r="E13" s="232"/>
      <c r="F13" s="236">
        <v>205.41498255910525</v>
      </c>
      <c r="G13" s="177"/>
      <c r="H13" s="189" t="s">
        <v>624</v>
      </c>
      <c r="I13" s="232">
        <v>539</v>
      </c>
      <c r="J13" s="232"/>
      <c r="K13" s="236">
        <v>143.69386541829843</v>
      </c>
    </row>
    <row r="14" spans="1:11" ht="9.75" customHeight="1">
      <c r="A14" s="177">
        <v>50</v>
      </c>
      <c r="B14" s="177">
        <v>18</v>
      </c>
      <c r="C14" s="189" t="s">
        <v>625</v>
      </c>
      <c r="D14" s="232">
        <v>299</v>
      </c>
      <c r="E14" s="232"/>
      <c r="F14" s="236">
        <v>198.556316282282</v>
      </c>
      <c r="G14" s="177"/>
      <c r="H14" s="189" t="s">
        <v>626</v>
      </c>
      <c r="I14" s="232">
        <v>1114</v>
      </c>
      <c r="J14" s="232"/>
      <c r="K14" s="236">
        <v>141.48636891872155</v>
      </c>
    </row>
    <row r="15" spans="1:11" ht="9.75" customHeight="1">
      <c r="A15" s="177">
        <v>29</v>
      </c>
      <c r="B15" s="177">
        <v>27</v>
      </c>
      <c r="C15" s="189" t="s">
        <v>627</v>
      </c>
      <c r="D15" s="232">
        <v>306</v>
      </c>
      <c r="E15" s="232"/>
      <c r="F15" s="236">
        <v>194.63791622936742</v>
      </c>
      <c r="G15" s="177"/>
      <c r="H15" s="189" t="s">
        <v>628</v>
      </c>
      <c r="I15" s="232">
        <v>286</v>
      </c>
      <c r="J15" s="232"/>
      <c r="K15" s="236">
        <v>138.70499968476136</v>
      </c>
    </row>
    <row r="16" spans="1:11" ht="9.75" customHeight="1">
      <c r="A16" s="177">
        <v>46</v>
      </c>
      <c r="B16" s="177">
        <v>10</v>
      </c>
      <c r="C16" s="189" t="s">
        <v>629</v>
      </c>
      <c r="D16" s="232">
        <v>573</v>
      </c>
      <c r="E16" s="232"/>
      <c r="F16" s="236">
        <v>189.32885728635247</v>
      </c>
      <c r="G16" s="177"/>
      <c r="H16" s="189" t="s">
        <v>630</v>
      </c>
      <c r="I16" s="232">
        <v>863</v>
      </c>
      <c r="J16" s="232"/>
      <c r="K16" s="236">
        <v>137.9109763074376</v>
      </c>
    </row>
    <row r="17" spans="1:11" ht="9.75" customHeight="1">
      <c r="A17" s="177">
        <v>52</v>
      </c>
      <c r="B17" s="177">
        <v>26</v>
      </c>
      <c r="C17" s="189" t="s">
        <v>631</v>
      </c>
      <c r="D17" s="232">
        <v>893</v>
      </c>
      <c r="E17" s="232"/>
      <c r="F17" s="236">
        <v>188.51036701469664</v>
      </c>
      <c r="G17" s="177"/>
      <c r="H17" s="189" t="s">
        <v>632</v>
      </c>
      <c r="I17" s="232">
        <v>1127</v>
      </c>
      <c r="J17" s="232"/>
      <c r="K17" s="236">
        <v>137.17755059563297</v>
      </c>
    </row>
    <row r="18" spans="1:11" ht="9.75" customHeight="1">
      <c r="A18" s="177">
        <v>31</v>
      </c>
      <c r="B18" s="177">
        <v>31</v>
      </c>
      <c r="C18" s="189" t="s">
        <v>633</v>
      </c>
      <c r="D18" s="232">
        <v>395</v>
      </c>
      <c r="E18" s="232"/>
      <c r="F18" s="236">
        <v>187.16121451044313</v>
      </c>
      <c r="G18" s="177"/>
      <c r="H18" s="189" t="s">
        <v>634</v>
      </c>
      <c r="I18" s="232">
        <v>921</v>
      </c>
      <c r="J18" s="232"/>
      <c r="K18" s="236">
        <v>136.0624616816493</v>
      </c>
    </row>
    <row r="19" spans="1:11" ht="9.75" customHeight="1">
      <c r="A19" s="177">
        <v>2</v>
      </c>
      <c r="B19" s="177">
        <v>15</v>
      </c>
      <c r="C19" s="189" t="s">
        <v>635</v>
      </c>
      <c r="D19" s="232">
        <v>331</v>
      </c>
      <c r="E19" s="232"/>
      <c r="F19" s="236">
        <v>186.61870584719819</v>
      </c>
      <c r="G19" s="177"/>
      <c r="H19" s="189" t="s">
        <v>636</v>
      </c>
      <c r="I19" s="232">
        <v>529</v>
      </c>
      <c r="J19" s="232"/>
      <c r="K19" s="236">
        <v>135.59478434277543</v>
      </c>
    </row>
    <row r="20" spans="1:11" ht="9.75" customHeight="1">
      <c r="A20" s="177">
        <v>15</v>
      </c>
      <c r="B20" s="177">
        <v>2</v>
      </c>
      <c r="C20" s="189" t="s">
        <v>637</v>
      </c>
      <c r="D20" s="232">
        <v>512</v>
      </c>
      <c r="E20" s="232"/>
      <c r="F20" s="236">
        <v>182.64449248375107</v>
      </c>
      <c r="G20" s="177"/>
      <c r="H20" s="189" t="s">
        <v>638</v>
      </c>
      <c r="I20" s="232">
        <v>1227</v>
      </c>
      <c r="J20" s="232"/>
      <c r="K20" s="236">
        <v>135.19424669699632</v>
      </c>
    </row>
    <row r="21" spans="1:11" ht="9.75" customHeight="1">
      <c r="A21" s="177">
        <v>40</v>
      </c>
      <c r="B21" s="177">
        <v>33</v>
      </c>
      <c r="C21" s="189" t="s">
        <v>639</v>
      </c>
      <c r="D21" s="232">
        <v>945</v>
      </c>
      <c r="E21" s="232"/>
      <c r="F21" s="236">
        <v>182.1447983685994</v>
      </c>
      <c r="G21" s="177"/>
      <c r="H21" s="189" t="s">
        <v>640</v>
      </c>
      <c r="I21" s="232">
        <v>468</v>
      </c>
      <c r="J21" s="232"/>
      <c r="K21" s="236">
        <v>134.210865918183</v>
      </c>
    </row>
    <row r="22" spans="1:11" ht="9.75" customHeight="1">
      <c r="A22" s="177">
        <v>3</v>
      </c>
      <c r="B22" s="177">
        <v>57</v>
      </c>
      <c r="C22" s="189" t="s">
        <v>641</v>
      </c>
      <c r="D22" s="232">
        <v>665</v>
      </c>
      <c r="E22" s="232"/>
      <c r="F22" s="236">
        <v>179.83131011841823</v>
      </c>
      <c r="G22" s="177"/>
      <c r="H22" s="189" t="s">
        <v>642</v>
      </c>
      <c r="I22" s="232">
        <v>1183</v>
      </c>
      <c r="J22" s="232"/>
      <c r="K22" s="236">
        <v>128.99216015527037</v>
      </c>
    </row>
    <row r="23" spans="1:11" ht="9.75" customHeight="1">
      <c r="A23" s="177">
        <v>53</v>
      </c>
      <c r="B23" s="177">
        <v>55</v>
      </c>
      <c r="C23" s="189" t="s">
        <v>643</v>
      </c>
      <c r="D23" s="232">
        <v>397</v>
      </c>
      <c r="E23" s="232"/>
      <c r="F23" s="236">
        <v>178.13954114484943</v>
      </c>
      <c r="G23" s="177"/>
      <c r="H23" s="189" t="s">
        <v>644</v>
      </c>
      <c r="I23" s="232">
        <v>1092</v>
      </c>
      <c r="J23" s="232"/>
      <c r="K23" s="236">
        <v>128.53228373148522</v>
      </c>
    </row>
    <row r="24" spans="1:11" ht="9.75" customHeight="1">
      <c r="A24" s="177">
        <v>94</v>
      </c>
      <c r="B24" s="177">
        <v>48</v>
      </c>
      <c r="C24" s="189" t="s">
        <v>645</v>
      </c>
      <c r="D24" s="232">
        <v>583</v>
      </c>
      <c r="E24" s="232"/>
      <c r="F24" s="236">
        <v>174.3853887178935</v>
      </c>
      <c r="G24" s="177"/>
      <c r="H24" s="189" t="s">
        <v>646</v>
      </c>
      <c r="I24" s="232">
        <v>389</v>
      </c>
      <c r="J24" s="232"/>
      <c r="K24" s="236">
        <v>128.02833079361108</v>
      </c>
    </row>
    <row r="25" spans="1:11" ht="9.75" customHeight="1">
      <c r="A25" s="177">
        <v>26</v>
      </c>
      <c r="B25" s="177">
        <v>92</v>
      </c>
      <c r="C25" s="189" t="s">
        <v>647</v>
      </c>
      <c r="D25" s="232">
        <v>746</v>
      </c>
      <c r="E25" s="232"/>
      <c r="F25" s="236">
        <v>173.09267418900512</v>
      </c>
      <c r="G25" s="177"/>
      <c r="H25" s="189" t="s">
        <v>648</v>
      </c>
      <c r="I25" s="232">
        <v>499</v>
      </c>
      <c r="J25" s="232"/>
      <c r="K25" s="236">
        <v>123.67464892757474</v>
      </c>
    </row>
    <row r="26" spans="1:11" ht="9.75" customHeight="1">
      <c r="A26" s="177">
        <v>16</v>
      </c>
      <c r="B26" s="177">
        <v>62</v>
      </c>
      <c r="C26" s="189" t="s">
        <v>649</v>
      </c>
      <c r="D26" s="232">
        <v>932</v>
      </c>
      <c r="E26" s="232"/>
      <c r="F26" s="236">
        <v>172.76151496277842</v>
      </c>
      <c r="G26" s="177"/>
      <c r="H26" s="189" t="s">
        <v>650</v>
      </c>
      <c r="I26" s="232">
        <v>359</v>
      </c>
      <c r="J26" s="232"/>
      <c r="K26" s="236">
        <v>122.33437152846403</v>
      </c>
    </row>
    <row r="27" spans="1:11" ht="9.75" customHeight="1">
      <c r="A27" s="177">
        <v>27</v>
      </c>
      <c r="B27" s="177">
        <v>53</v>
      </c>
      <c r="C27" s="189" t="s">
        <v>651</v>
      </c>
      <c r="D27" s="232">
        <v>793</v>
      </c>
      <c r="E27" s="232"/>
      <c r="F27" s="236">
        <v>172.69727887452768</v>
      </c>
      <c r="G27" s="177"/>
      <c r="H27" s="189" t="s">
        <v>652</v>
      </c>
      <c r="I27" s="232">
        <v>330</v>
      </c>
      <c r="J27" s="232"/>
      <c r="K27" s="236">
        <v>116.91514086503032</v>
      </c>
    </row>
    <row r="28" spans="1:11" ht="9.75" customHeight="1">
      <c r="A28" s="177">
        <v>49</v>
      </c>
      <c r="B28" s="177">
        <v>9</v>
      </c>
      <c r="C28" s="189" t="s">
        <v>653</v>
      </c>
      <c r="D28" s="232">
        <v>756</v>
      </c>
      <c r="E28" s="232"/>
      <c r="F28" s="236">
        <v>170.2487974489704</v>
      </c>
      <c r="G28" s="177"/>
      <c r="H28" s="189" t="s">
        <v>654</v>
      </c>
      <c r="I28" s="232">
        <v>574</v>
      </c>
      <c r="J28" s="232"/>
      <c r="K28" s="236">
        <v>116.18986314291556</v>
      </c>
    </row>
    <row r="29" spans="1:11" ht="9.75" customHeight="1">
      <c r="A29" s="177">
        <v>48</v>
      </c>
      <c r="B29" s="177">
        <v>34</v>
      </c>
      <c r="C29" s="189" t="s">
        <v>655</v>
      </c>
      <c r="D29" s="232">
        <v>602</v>
      </c>
      <c r="E29" s="232"/>
      <c r="F29" s="236">
        <v>169.85209888665054</v>
      </c>
      <c r="G29" s="177"/>
      <c r="H29" s="189" t="s">
        <v>656</v>
      </c>
      <c r="I29" s="232">
        <v>946</v>
      </c>
      <c r="J29" s="232"/>
      <c r="K29" s="236">
        <v>116.13332498548334</v>
      </c>
    </row>
    <row r="30" spans="1:11" ht="9.75" customHeight="1">
      <c r="A30" s="177">
        <v>30</v>
      </c>
      <c r="B30" s="177">
        <v>52</v>
      </c>
      <c r="C30" s="189" t="s">
        <v>657</v>
      </c>
      <c r="D30" s="232">
        <v>273</v>
      </c>
      <c r="E30" s="232"/>
      <c r="F30" s="236">
        <v>169.82787043315437</v>
      </c>
      <c r="G30" s="177"/>
      <c r="H30" s="189" t="s">
        <v>658</v>
      </c>
      <c r="I30" s="232">
        <v>662</v>
      </c>
      <c r="J30" s="232"/>
      <c r="K30" s="236">
        <v>115.62389746850035</v>
      </c>
    </row>
    <row r="31" spans="1:11" ht="9.75" customHeight="1">
      <c r="A31" s="177">
        <v>66</v>
      </c>
      <c r="B31" s="177">
        <v>6</v>
      </c>
      <c r="C31" s="189" t="s">
        <v>659</v>
      </c>
      <c r="D31" s="232">
        <v>583</v>
      </c>
      <c r="E31" s="232"/>
      <c r="F31" s="236">
        <v>169.69577012190152</v>
      </c>
      <c r="G31" s="177"/>
      <c r="H31" s="189" t="s">
        <v>415</v>
      </c>
      <c r="I31" s="232">
        <v>357</v>
      </c>
      <c r="J31" s="232"/>
      <c r="K31" s="236">
        <v>115.35329774721795</v>
      </c>
    </row>
    <row r="32" spans="1:11" ht="9.75" customHeight="1">
      <c r="A32" s="177">
        <v>92</v>
      </c>
      <c r="B32" s="177">
        <v>3</v>
      </c>
      <c r="C32" s="189" t="s">
        <v>660</v>
      </c>
      <c r="D32" s="232">
        <v>583</v>
      </c>
      <c r="E32" s="232"/>
      <c r="F32" s="236">
        <v>169.2337166975332</v>
      </c>
      <c r="G32" s="177"/>
      <c r="H32" s="189" t="s">
        <v>661</v>
      </c>
      <c r="I32" s="232">
        <v>497</v>
      </c>
      <c r="J32" s="232"/>
      <c r="K32" s="236">
        <v>112.83094428376188</v>
      </c>
    </row>
    <row r="33" spans="1:11" ht="9.75" customHeight="1">
      <c r="A33" s="177">
        <v>13</v>
      </c>
      <c r="B33" s="177">
        <v>29</v>
      </c>
      <c r="C33" s="189" t="s">
        <v>662</v>
      </c>
      <c r="D33" s="232">
        <v>419</v>
      </c>
      <c r="E33" s="232"/>
      <c r="F33" s="236">
        <v>169.14053196513848</v>
      </c>
      <c r="G33" s="177"/>
      <c r="H33" s="189" t="s">
        <v>414</v>
      </c>
      <c r="I33" s="232">
        <v>219</v>
      </c>
      <c r="J33" s="232"/>
      <c r="K33" s="236">
        <v>111.89454322501533</v>
      </c>
    </row>
    <row r="34" spans="1:11" ht="9.75" customHeight="1">
      <c r="A34" s="177">
        <v>44</v>
      </c>
      <c r="B34" s="177">
        <v>42</v>
      </c>
      <c r="C34" s="189" t="s">
        <v>663</v>
      </c>
      <c r="D34" s="232">
        <v>454</v>
      </c>
      <c r="E34" s="232"/>
      <c r="F34" s="236">
        <v>168.50888197697293</v>
      </c>
      <c r="G34" s="177"/>
      <c r="H34" s="189" t="s">
        <v>664</v>
      </c>
      <c r="I34" s="232">
        <v>1218</v>
      </c>
      <c r="J34" s="232"/>
      <c r="K34" s="236">
        <v>111.54264949508178</v>
      </c>
    </row>
    <row r="35" spans="1:11" ht="9.75" customHeight="1">
      <c r="A35" s="177">
        <v>36</v>
      </c>
      <c r="B35" s="177">
        <v>56</v>
      </c>
      <c r="C35" s="189" t="s">
        <v>665</v>
      </c>
      <c r="D35" s="232">
        <v>360</v>
      </c>
      <c r="E35" s="232"/>
      <c r="F35" s="236">
        <v>166.3693584612683</v>
      </c>
      <c r="G35" s="177"/>
      <c r="H35" s="189" t="s">
        <v>666</v>
      </c>
      <c r="I35" s="232">
        <v>1058</v>
      </c>
      <c r="J35" s="232"/>
      <c r="K35" s="236">
        <v>110.90460631485378</v>
      </c>
    </row>
    <row r="36" spans="1:11" ht="9.75" customHeight="1">
      <c r="A36" s="177">
        <v>54</v>
      </c>
      <c r="B36" s="177">
        <v>47</v>
      </c>
      <c r="C36" s="189" t="s">
        <v>667</v>
      </c>
      <c r="D36" s="232">
        <v>639</v>
      </c>
      <c r="E36" s="232"/>
      <c r="F36" s="236">
        <v>165.41633661059598</v>
      </c>
      <c r="G36" s="177"/>
      <c r="H36" s="189" t="s">
        <v>668</v>
      </c>
      <c r="I36" s="232">
        <v>471</v>
      </c>
      <c r="J36" s="232"/>
      <c r="K36" s="236">
        <v>108.52409534452369</v>
      </c>
    </row>
    <row r="37" spans="1:11" ht="9.75" customHeight="1">
      <c r="A37" s="177">
        <v>55</v>
      </c>
      <c r="B37" s="177">
        <v>93</v>
      </c>
      <c r="C37" s="189" t="s">
        <v>669</v>
      </c>
      <c r="D37" s="232">
        <v>478</v>
      </c>
      <c r="E37" s="232"/>
      <c r="F37" s="236">
        <v>163.57035064966175</v>
      </c>
      <c r="G37" s="177"/>
      <c r="H37" s="189" t="s">
        <v>670</v>
      </c>
      <c r="I37" s="232">
        <v>524</v>
      </c>
      <c r="J37" s="232"/>
      <c r="K37" s="236">
        <v>102.72314348501988</v>
      </c>
    </row>
    <row r="38" spans="1:11" ht="9.75" customHeight="1">
      <c r="A38" s="177">
        <v>33</v>
      </c>
      <c r="B38" s="177">
        <v>4</v>
      </c>
      <c r="C38" s="189" t="s">
        <v>671</v>
      </c>
      <c r="D38" s="232">
        <v>435</v>
      </c>
      <c r="E38" s="232"/>
      <c r="F38" s="236">
        <v>163.48159422740852</v>
      </c>
      <c r="G38" s="177"/>
      <c r="H38" s="189" t="s">
        <v>672</v>
      </c>
      <c r="I38" s="232">
        <v>2258</v>
      </c>
      <c r="J38" s="232"/>
      <c r="K38" s="236">
        <v>101.97436460215998</v>
      </c>
    </row>
    <row r="39" spans="1:11" ht="9.75" customHeight="1">
      <c r="A39" s="177">
        <v>9</v>
      </c>
      <c r="B39" s="177">
        <v>50</v>
      </c>
      <c r="C39" s="189" t="s">
        <v>673</v>
      </c>
      <c r="D39" s="232">
        <v>324</v>
      </c>
      <c r="E39" s="232"/>
      <c r="F39" s="236">
        <v>162.37834153577836</v>
      </c>
      <c r="G39" s="177"/>
      <c r="H39" s="189" t="s">
        <v>674</v>
      </c>
      <c r="I39" s="232">
        <v>3777</v>
      </c>
      <c r="J39" s="232"/>
      <c r="K39" s="236">
        <v>100.51604624110705</v>
      </c>
    </row>
    <row r="40" spans="1:11" ht="9.75" customHeight="1">
      <c r="A40" s="177">
        <v>14</v>
      </c>
      <c r="B40" s="177">
        <v>12</v>
      </c>
      <c r="C40" s="189" t="s">
        <v>675</v>
      </c>
      <c r="D40" s="232">
        <v>407</v>
      </c>
      <c r="E40" s="232"/>
      <c r="F40" s="236">
        <v>160.99747230012778</v>
      </c>
      <c r="G40" s="177"/>
      <c r="H40" s="189" t="s">
        <v>416</v>
      </c>
      <c r="I40" s="232">
        <v>273</v>
      </c>
      <c r="J40" s="232"/>
      <c r="K40" s="236">
        <v>100.35620940260485</v>
      </c>
    </row>
    <row r="41" spans="1:11" ht="9.75" customHeight="1">
      <c r="A41" s="177">
        <v>35</v>
      </c>
      <c r="B41" s="177">
        <v>13</v>
      </c>
      <c r="C41" s="189" t="s">
        <v>676</v>
      </c>
      <c r="D41" s="232">
        <v>346</v>
      </c>
      <c r="E41" s="232"/>
      <c r="F41" s="236">
        <v>160.5978323934183</v>
      </c>
      <c r="G41" s="177"/>
      <c r="H41" s="189" t="s">
        <v>677</v>
      </c>
      <c r="I41" s="232">
        <v>739</v>
      </c>
      <c r="J41" s="232"/>
      <c r="K41" s="236">
        <v>99.14060257094792</v>
      </c>
    </row>
    <row r="42" spans="1:11" ht="9.75" customHeight="1">
      <c r="A42" s="177">
        <v>47</v>
      </c>
      <c r="B42" s="177">
        <v>49</v>
      </c>
      <c r="C42" s="189" t="s">
        <v>678</v>
      </c>
      <c r="D42" s="232">
        <v>718</v>
      </c>
      <c r="E42" s="232"/>
      <c r="F42" s="236">
        <v>159.8094750548093</v>
      </c>
      <c r="G42" s="177"/>
      <c r="H42" s="189" t="s">
        <v>679</v>
      </c>
      <c r="I42" s="232">
        <v>293</v>
      </c>
      <c r="J42" s="232"/>
      <c r="K42" s="236">
        <v>97.06679388048526</v>
      </c>
    </row>
    <row r="43" spans="1:11" ht="9.75" customHeight="1">
      <c r="A43" s="177">
        <v>43</v>
      </c>
      <c r="B43" s="177">
        <v>67</v>
      </c>
      <c r="C43" s="189" t="s">
        <v>680</v>
      </c>
      <c r="D43" s="232">
        <v>960</v>
      </c>
      <c r="E43" s="232"/>
      <c r="F43" s="236">
        <v>156.7016905827181</v>
      </c>
      <c r="G43" s="177"/>
      <c r="H43" s="189" t="s">
        <v>681</v>
      </c>
      <c r="I43" s="232">
        <v>749</v>
      </c>
      <c r="J43" s="232"/>
      <c r="K43" s="236">
        <v>91.80552916878612</v>
      </c>
    </row>
    <row r="44" spans="1:11" ht="9.75" customHeight="1">
      <c r="A44" s="177">
        <v>20</v>
      </c>
      <c r="B44" s="177">
        <v>8</v>
      </c>
      <c r="C44" s="189" t="s">
        <v>682</v>
      </c>
      <c r="D44" s="232">
        <v>523</v>
      </c>
      <c r="E44" s="232"/>
      <c r="F44" s="236">
        <v>156.48234861155575</v>
      </c>
      <c r="G44" s="177"/>
      <c r="H44" s="189" t="s">
        <v>683</v>
      </c>
      <c r="I44" s="232">
        <v>1001</v>
      </c>
      <c r="J44" s="232"/>
      <c r="K44" s="236">
        <v>90.98279598039643</v>
      </c>
    </row>
    <row r="45" spans="1:11" ht="9.75" customHeight="1">
      <c r="A45" s="177">
        <v>8</v>
      </c>
      <c r="B45" s="177">
        <v>30</v>
      </c>
      <c r="C45" s="189" t="s">
        <v>684</v>
      </c>
      <c r="D45" s="232">
        <v>380</v>
      </c>
      <c r="E45" s="232"/>
      <c r="F45" s="236">
        <v>156.04467805519053</v>
      </c>
      <c r="G45" s="177"/>
      <c r="H45" s="189" t="s">
        <v>685</v>
      </c>
      <c r="I45" s="232">
        <v>3453</v>
      </c>
      <c r="J45" s="232"/>
      <c r="K45" s="236">
        <v>90.46056294082496</v>
      </c>
    </row>
    <row r="46" spans="1:11" ht="9.75" customHeight="1">
      <c r="A46" s="177">
        <v>57</v>
      </c>
      <c r="B46" s="177">
        <v>51</v>
      </c>
      <c r="C46" s="189" t="s">
        <v>686</v>
      </c>
      <c r="D46" s="232">
        <v>499</v>
      </c>
      <c r="E46" s="232"/>
      <c r="F46" s="236">
        <v>155.10140648069003</v>
      </c>
      <c r="G46" s="177"/>
      <c r="H46" s="189" t="s">
        <v>687</v>
      </c>
      <c r="I46" s="232">
        <v>372</v>
      </c>
      <c r="J46" s="232"/>
      <c r="K46" s="236">
        <v>90.3871339260332</v>
      </c>
    </row>
    <row r="47" spans="1:11" ht="9.75" customHeight="1">
      <c r="A47" s="177">
        <v>41</v>
      </c>
      <c r="B47" s="177">
        <v>54</v>
      </c>
      <c r="C47" s="189" t="s">
        <v>688</v>
      </c>
      <c r="D47" s="232">
        <v>451</v>
      </c>
      <c r="E47" s="232"/>
      <c r="F47" s="236">
        <v>155.04888681087473</v>
      </c>
      <c r="G47" s="177"/>
      <c r="H47" s="189" t="s">
        <v>689</v>
      </c>
      <c r="I47" s="232">
        <v>162</v>
      </c>
      <c r="J47" s="232"/>
      <c r="K47" s="236">
        <v>89.13391545483056</v>
      </c>
    </row>
    <row r="48" spans="1:11" ht="9.75" customHeight="1">
      <c r="A48" s="177">
        <v>12</v>
      </c>
      <c r="B48" s="177">
        <v>14</v>
      </c>
      <c r="C48" s="189" t="s">
        <v>690</v>
      </c>
      <c r="D48" s="232">
        <v>579</v>
      </c>
      <c r="E48" s="232"/>
      <c r="F48" s="236">
        <v>154.80952279095635</v>
      </c>
      <c r="G48" s="177"/>
      <c r="H48" s="189" t="s">
        <v>691</v>
      </c>
      <c r="I48" s="232">
        <v>1078</v>
      </c>
      <c r="J48" s="232"/>
      <c r="K48" s="236">
        <v>87.07163863492994</v>
      </c>
    </row>
    <row r="49" spans="1:11" ht="9.75" customHeight="1">
      <c r="A49" s="177">
        <v>19</v>
      </c>
      <c r="B49" s="177">
        <v>64</v>
      </c>
      <c r="C49" s="189" t="s">
        <v>692</v>
      </c>
      <c r="D49" s="232">
        <v>1483</v>
      </c>
      <c r="E49" s="232"/>
      <c r="F49" s="236">
        <v>153.6575788000203</v>
      </c>
      <c r="G49" s="177"/>
      <c r="H49" s="189" t="s">
        <v>693</v>
      </c>
      <c r="I49" s="232">
        <v>703</v>
      </c>
      <c r="J49" s="232"/>
      <c r="K49" s="236">
        <v>82.15563291975043</v>
      </c>
    </row>
    <row r="50" spans="1:11" ht="9.75" customHeight="1">
      <c r="A50" s="177">
        <v>37</v>
      </c>
      <c r="B50" s="177">
        <v>16</v>
      </c>
      <c r="C50" s="189" t="s">
        <v>413</v>
      </c>
      <c r="D50" s="232">
        <v>291</v>
      </c>
      <c r="E50" s="232"/>
      <c r="F50" s="236">
        <v>153.55714330944667</v>
      </c>
      <c r="G50" s="177"/>
      <c r="H50" s="189" t="s">
        <v>418</v>
      </c>
      <c r="I50" s="232">
        <v>177</v>
      </c>
      <c r="J50" s="232"/>
      <c r="K50" s="236">
        <v>77.62238682261311</v>
      </c>
    </row>
    <row r="51" spans="1:11" ht="9.75" customHeight="1">
      <c r="A51" s="177">
        <v>6</v>
      </c>
      <c r="B51" s="177">
        <v>35</v>
      </c>
      <c r="C51" s="189" t="s">
        <v>694</v>
      </c>
      <c r="D51" s="232">
        <v>451</v>
      </c>
      <c r="E51" s="232"/>
      <c r="F51" s="236">
        <v>153.31375268554024</v>
      </c>
      <c r="G51" s="177"/>
      <c r="H51" s="189" t="s">
        <v>695</v>
      </c>
      <c r="I51" s="232">
        <v>451</v>
      </c>
      <c r="J51" s="232"/>
      <c r="K51" s="236">
        <v>76.71751115465808</v>
      </c>
    </row>
    <row r="52" spans="1:11" ht="9.75" customHeight="1">
      <c r="A52" s="177">
        <v>22</v>
      </c>
      <c r="B52" s="177">
        <v>36</v>
      </c>
      <c r="C52" s="189" t="s">
        <v>696</v>
      </c>
      <c r="D52" s="232">
        <v>585</v>
      </c>
      <c r="E52" s="232"/>
      <c r="F52" s="236">
        <v>153.24686891760558</v>
      </c>
      <c r="G52" s="177"/>
      <c r="H52" s="189" t="s">
        <v>697</v>
      </c>
      <c r="I52" s="232">
        <v>1126</v>
      </c>
      <c r="J52" s="232"/>
      <c r="K52" s="236">
        <v>71.44443386948383</v>
      </c>
    </row>
    <row r="53" spans="1:11" ht="9.75" customHeight="1">
      <c r="A53" s="177">
        <v>93</v>
      </c>
      <c r="B53" s="177">
        <v>25</v>
      </c>
      <c r="C53" s="189" t="s">
        <v>698</v>
      </c>
      <c r="D53" s="232">
        <v>607</v>
      </c>
      <c r="E53" s="232"/>
      <c r="F53" s="236">
        <v>152.86130166309067</v>
      </c>
      <c r="G53" s="177"/>
      <c r="H53" s="189" t="s">
        <v>699</v>
      </c>
      <c r="I53" s="234">
        <v>482</v>
      </c>
      <c r="J53" s="234"/>
      <c r="K53" s="236">
        <v>69.46245856751693</v>
      </c>
    </row>
    <row r="54" spans="1:11" ht="9.75" customHeight="1">
      <c r="A54" s="177">
        <v>95</v>
      </c>
      <c r="B54" s="177">
        <v>78</v>
      </c>
      <c r="C54" s="189" t="s">
        <v>700</v>
      </c>
      <c r="D54" s="232">
        <v>411</v>
      </c>
      <c r="E54" s="232"/>
      <c r="F54" s="236">
        <v>152.63773605927247</v>
      </c>
      <c r="G54" s="177"/>
      <c r="H54" s="189" t="s">
        <v>417</v>
      </c>
      <c r="I54" s="234">
        <v>118</v>
      </c>
      <c r="J54" s="234"/>
      <c r="K54" s="236">
        <v>67.75456769140665</v>
      </c>
    </row>
    <row r="55" spans="1:11" ht="9.75" customHeight="1">
      <c r="A55" s="177">
        <v>34</v>
      </c>
      <c r="B55" s="177">
        <v>46</v>
      </c>
      <c r="C55" s="189" t="s">
        <v>701</v>
      </c>
      <c r="D55" s="232">
        <v>1238</v>
      </c>
      <c r="E55" s="232"/>
      <c r="F55" s="236">
        <v>151.66475962728202</v>
      </c>
      <c r="G55" s="177"/>
      <c r="H55" s="189" t="s">
        <v>702</v>
      </c>
      <c r="I55" s="234">
        <v>1945</v>
      </c>
      <c r="J55" s="234"/>
      <c r="K55" s="236">
        <v>62.75476984647828</v>
      </c>
    </row>
    <row r="56" spans="1:11" ht="9.75" customHeight="1">
      <c r="A56" s="177">
        <v>56</v>
      </c>
      <c r="B56" s="177">
        <v>43</v>
      </c>
      <c r="C56" s="189" t="s">
        <v>703</v>
      </c>
      <c r="D56" s="232">
        <v>835</v>
      </c>
      <c r="E56" s="232"/>
      <c r="F56" s="236">
        <v>149.79459304307267</v>
      </c>
      <c r="G56" s="177"/>
      <c r="H56" s="189" t="s">
        <v>704</v>
      </c>
      <c r="I56" s="234">
        <v>272</v>
      </c>
      <c r="J56" s="234"/>
      <c r="K56" s="236">
        <v>57.960143877533625</v>
      </c>
    </row>
    <row r="57" spans="1:11" ht="9.75" customHeight="1">
      <c r="A57" s="177">
        <v>42</v>
      </c>
      <c r="B57" s="177">
        <v>22</v>
      </c>
      <c r="C57" s="189" t="s">
        <v>705</v>
      </c>
      <c r="D57" s="232">
        <v>354</v>
      </c>
      <c r="E57" s="232"/>
      <c r="F57" s="236">
        <v>149.73479176712434</v>
      </c>
      <c r="G57" s="177"/>
      <c r="H57" s="189" t="s">
        <v>419</v>
      </c>
      <c r="I57" s="234">
        <v>88</v>
      </c>
      <c r="J57" s="234"/>
      <c r="K57" s="236">
        <v>49.82137903312555</v>
      </c>
    </row>
    <row r="58" spans="3:11" ht="9.75" customHeight="1">
      <c r="C58" s="189" t="s">
        <v>706</v>
      </c>
      <c r="D58" s="232">
        <v>740</v>
      </c>
      <c r="E58" s="232"/>
      <c r="F58" s="236">
        <v>148.72129829673918</v>
      </c>
      <c r="G58" s="177"/>
      <c r="H58" s="192" t="s">
        <v>225</v>
      </c>
      <c r="I58" s="235">
        <v>71765</v>
      </c>
      <c r="J58" s="235"/>
      <c r="K58" s="238">
        <v>124.41943592303696</v>
      </c>
    </row>
    <row r="59" spans="3:11" ht="9" customHeight="1">
      <c r="C59" s="197"/>
      <c r="D59" s="233"/>
      <c r="E59" s="233"/>
      <c r="F59" s="207"/>
      <c r="G59" s="198"/>
      <c r="H59" s="199"/>
      <c r="I59" s="198"/>
      <c r="J59" s="198"/>
      <c r="K59" s="198"/>
    </row>
    <row r="60" spans="3:7" ht="9.75" customHeight="1">
      <c r="C60" s="188"/>
      <c r="D60" s="188"/>
      <c r="E60" s="188"/>
      <c r="F60" s="190"/>
      <c r="G60" s="191"/>
    </row>
    <row r="61" spans="3:7" ht="9.75" customHeight="1">
      <c r="C61" s="188"/>
      <c r="D61" s="188"/>
      <c r="E61" s="188"/>
      <c r="F61" s="190"/>
      <c r="G61" s="191"/>
    </row>
  </sheetData>
  <printOptions horizontalCentered="1"/>
  <pageMargins left="1.1811023622047245" right="1.1811023622047245" top="1.1811023622047245" bottom="1.5748031496062993" header="0" footer="1.2598425196850394"/>
  <pageSetup firstPageNumber="187" useFirstPageNumber="1" horizontalDpi="300" verticalDpi="300" orientation="portrait" paperSize="9" r:id="rId2"/>
  <headerFooter alignWithMargins="0">
    <oddFooter>&amp;C&amp;9 187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C37">
      <selection activeCell="M21" sqref="M21"/>
    </sheetView>
  </sheetViews>
  <sheetFormatPr defaultColWidth="9.140625" defaultRowHeight="12.75"/>
  <cols>
    <col min="1" max="1" width="7.7109375" style="177" hidden="1" customWidth="1"/>
    <col min="2" max="2" width="0" style="177" hidden="1" customWidth="1"/>
    <col min="3" max="3" width="20.421875" style="178" customWidth="1"/>
    <col min="4" max="4" width="6.7109375" style="178" customWidth="1"/>
    <col min="5" max="5" width="0.85546875" style="178" customWidth="1"/>
    <col min="6" max="6" width="9.00390625" style="179" customWidth="1"/>
    <col min="7" max="7" width="7.7109375" style="180" customWidth="1"/>
    <col min="8" max="8" width="13.00390625" style="181" customWidth="1"/>
    <col min="9" max="9" width="7.140625" style="181" customWidth="1"/>
    <col min="10" max="10" width="0.85546875" style="181" customWidth="1"/>
    <col min="11" max="11" width="9.28125" style="177" customWidth="1"/>
    <col min="12" max="16384" width="9.140625" style="177" customWidth="1"/>
  </cols>
  <sheetData>
    <row r="1" spans="1:7" ht="9" customHeight="1">
      <c r="A1" s="177">
        <v>10</v>
      </c>
      <c r="B1" s="177">
        <v>63</v>
      </c>
      <c r="C1" s="177"/>
      <c r="D1" s="188"/>
      <c r="E1" s="188"/>
      <c r="F1" s="190"/>
      <c r="G1" s="191"/>
    </row>
    <row r="2" spans="3:7" ht="12" customHeight="1">
      <c r="C2" s="176" t="s">
        <v>455</v>
      </c>
      <c r="D2" s="188"/>
      <c r="E2" s="188"/>
      <c r="F2" s="190"/>
      <c r="G2" s="191"/>
    </row>
    <row r="3" spans="1:7" ht="12" customHeight="1">
      <c r="A3" s="177">
        <v>4</v>
      </c>
      <c r="B3" s="177">
        <v>44</v>
      </c>
      <c r="C3" s="182"/>
      <c r="D3" s="188"/>
      <c r="E3" s="188"/>
      <c r="F3" s="190"/>
      <c r="G3" s="191"/>
    </row>
    <row r="4" spans="1:11" ht="9" customHeight="1">
      <c r="A4" s="177">
        <v>38</v>
      </c>
      <c r="B4" s="177">
        <v>20</v>
      </c>
      <c r="C4" s="397"/>
      <c r="D4" s="397"/>
      <c r="E4" s="397"/>
      <c r="F4" s="397"/>
      <c r="G4" s="397"/>
      <c r="H4" s="397"/>
      <c r="I4" s="397"/>
      <c r="J4" s="397"/>
      <c r="K4" s="397"/>
    </row>
    <row r="5" spans="1:11" s="174" customFormat="1" ht="24" customHeight="1">
      <c r="A5" s="174" t="s">
        <v>224</v>
      </c>
      <c r="B5" s="175" t="s">
        <v>224</v>
      </c>
      <c r="C5" s="256" t="s">
        <v>420</v>
      </c>
      <c r="D5" s="200" t="s">
        <v>444</v>
      </c>
      <c r="E5" s="200"/>
      <c r="F5" s="202" t="s">
        <v>445</v>
      </c>
      <c r="G5" s="203"/>
      <c r="H5" s="256" t="s">
        <v>420</v>
      </c>
      <c r="I5" s="200" t="s">
        <v>444</v>
      </c>
      <c r="J5" s="200"/>
      <c r="K5" s="202" t="s">
        <v>445</v>
      </c>
    </row>
    <row r="6" spans="3:11" ht="9" customHeight="1">
      <c r="C6" s="193"/>
      <c r="D6" s="194"/>
      <c r="E6" s="194"/>
      <c r="F6" s="195"/>
      <c r="G6" s="177"/>
      <c r="H6" s="193"/>
      <c r="I6" s="194"/>
      <c r="J6" s="194"/>
      <c r="K6" s="237"/>
    </row>
    <row r="7" spans="1:11" ht="9.75" customHeight="1">
      <c r="A7" s="177">
        <v>39</v>
      </c>
      <c r="B7" s="177">
        <v>85</v>
      </c>
      <c r="C7" s="18" t="s">
        <v>611</v>
      </c>
      <c r="D7" s="232">
        <v>3904</v>
      </c>
      <c r="E7" s="232"/>
      <c r="F7" s="345">
        <v>3244.060726423639</v>
      </c>
      <c r="G7" s="177"/>
      <c r="H7" s="18" t="s">
        <v>647</v>
      </c>
      <c r="I7" s="232">
        <v>6456</v>
      </c>
      <c r="J7" s="232"/>
      <c r="K7" s="345">
        <v>1497.9709176464037</v>
      </c>
    </row>
    <row r="8" spans="1:11" ht="9.75" customHeight="1">
      <c r="A8" s="177">
        <v>67</v>
      </c>
      <c r="B8" s="177">
        <v>37</v>
      </c>
      <c r="C8" s="18" t="s">
        <v>617</v>
      </c>
      <c r="D8" s="232">
        <v>3677</v>
      </c>
      <c r="E8" s="232"/>
      <c r="F8" s="345">
        <v>2658.6168251328586</v>
      </c>
      <c r="G8" s="177"/>
      <c r="H8" s="18" t="s">
        <v>630</v>
      </c>
      <c r="I8" s="232">
        <v>9285</v>
      </c>
      <c r="J8" s="232"/>
      <c r="K8" s="345">
        <v>1483.7814774212725</v>
      </c>
    </row>
    <row r="9" spans="1:11" ht="9.75" customHeight="1">
      <c r="A9" s="177">
        <v>32</v>
      </c>
      <c r="B9" s="177">
        <v>19</v>
      </c>
      <c r="C9" s="18" t="s">
        <v>646</v>
      </c>
      <c r="D9" s="232">
        <v>5837</v>
      </c>
      <c r="E9" s="232"/>
      <c r="F9" s="345">
        <v>2627.622220221482</v>
      </c>
      <c r="G9" s="177"/>
      <c r="H9" s="18" t="s">
        <v>696</v>
      </c>
      <c r="I9" s="232">
        <v>5625</v>
      </c>
      <c r="J9" s="232"/>
      <c r="K9" s="345">
        <v>1473.5275857462075</v>
      </c>
    </row>
    <row r="10" spans="1:11" ht="9.75" customHeight="1">
      <c r="A10" s="177">
        <v>23</v>
      </c>
      <c r="B10" s="177">
        <v>5</v>
      </c>
      <c r="C10" s="18" t="s">
        <v>633</v>
      </c>
      <c r="D10" s="232">
        <v>5357</v>
      </c>
      <c r="E10" s="232"/>
      <c r="F10" s="345">
        <v>2538.2851294492248</v>
      </c>
      <c r="G10" s="177"/>
      <c r="H10" s="18" t="s">
        <v>642</v>
      </c>
      <c r="I10" s="232">
        <v>13493</v>
      </c>
      <c r="J10" s="232"/>
      <c r="K10" s="345">
        <v>1471.2520853550827</v>
      </c>
    </row>
    <row r="11" spans="1:11" ht="9.75" customHeight="1">
      <c r="A11" s="177">
        <v>45</v>
      </c>
      <c r="B11" s="177">
        <v>65</v>
      </c>
      <c r="C11" s="18" t="s">
        <v>631</v>
      </c>
      <c r="D11" s="232">
        <v>11322</v>
      </c>
      <c r="E11" s="232"/>
      <c r="F11" s="345">
        <v>2390.049692430454</v>
      </c>
      <c r="G11" s="177"/>
      <c r="H11" s="18" t="s">
        <v>638</v>
      </c>
      <c r="I11" s="232">
        <v>13180</v>
      </c>
      <c r="J11" s="232"/>
      <c r="K11" s="345">
        <v>1452.2087787012317</v>
      </c>
    </row>
    <row r="12" spans="1:11" ht="9.75" customHeight="1">
      <c r="A12" s="177">
        <v>24</v>
      </c>
      <c r="B12" s="177">
        <v>24</v>
      </c>
      <c r="C12" s="18" t="s">
        <v>621</v>
      </c>
      <c r="D12" s="232">
        <v>10893</v>
      </c>
      <c r="E12" s="232"/>
      <c r="F12" s="345">
        <v>2355.0293811156607</v>
      </c>
      <c r="G12" s="177"/>
      <c r="H12" s="18" t="s">
        <v>701</v>
      </c>
      <c r="I12" s="232">
        <v>11807</v>
      </c>
      <c r="J12" s="232"/>
      <c r="K12" s="345">
        <v>1446.4505790947646</v>
      </c>
    </row>
    <row r="13" spans="1:11" ht="9.75" customHeight="1">
      <c r="A13" s="177">
        <v>11</v>
      </c>
      <c r="B13" s="177">
        <v>39</v>
      </c>
      <c r="C13" s="18" t="s">
        <v>625</v>
      </c>
      <c r="D13" s="232">
        <v>3426</v>
      </c>
      <c r="E13" s="232"/>
      <c r="F13" s="345">
        <v>2275.0967879033383</v>
      </c>
      <c r="G13" s="177"/>
      <c r="H13" s="18" t="s">
        <v>706</v>
      </c>
      <c r="I13" s="232">
        <v>7182</v>
      </c>
      <c r="J13" s="232"/>
      <c r="K13" s="345">
        <v>1443.4004923880823</v>
      </c>
    </row>
    <row r="14" spans="1:11" ht="9.75" customHeight="1">
      <c r="A14" s="177">
        <v>63</v>
      </c>
      <c r="B14" s="177">
        <v>32</v>
      </c>
      <c r="C14" s="18" t="s">
        <v>619</v>
      </c>
      <c r="D14" s="232">
        <v>6153</v>
      </c>
      <c r="E14" s="232"/>
      <c r="F14" s="345">
        <v>2199.377325645819</v>
      </c>
      <c r="G14" s="177"/>
      <c r="H14" s="18" t="s">
        <v>636</v>
      </c>
      <c r="I14" s="232">
        <v>5620</v>
      </c>
      <c r="J14" s="232"/>
      <c r="K14" s="345">
        <v>1440.534381864646</v>
      </c>
    </row>
    <row r="15" spans="1:11" ht="9.75" customHeight="1">
      <c r="A15" s="177">
        <v>64</v>
      </c>
      <c r="B15" s="177">
        <v>87</v>
      </c>
      <c r="C15" s="18" t="s">
        <v>635</v>
      </c>
      <c r="D15" s="232">
        <v>3872</v>
      </c>
      <c r="E15" s="232"/>
      <c r="F15" s="345">
        <v>2183.04419649653</v>
      </c>
      <c r="G15" s="177"/>
      <c r="H15" s="18" t="s">
        <v>632</v>
      </c>
      <c r="I15" s="232">
        <v>11815</v>
      </c>
      <c r="J15" s="232"/>
      <c r="K15" s="345">
        <v>1438.1124758539515</v>
      </c>
    </row>
    <row r="16" spans="1:11" ht="9.75" customHeight="1">
      <c r="A16" s="177">
        <v>5</v>
      </c>
      <c r="B16" s="177">
        <v>38</v>
      </c>
      <c r="C16" s="18" t="s">
        <v>662</v>
      </c>
      <c r="D16" s="232">
        <v>5235</v>
      </c>
      <c r="E16" s="232"/>
      <c r="F16" s="345">
        <v>2113.247457846062</v>
      </c>
      <c r="G16" s="177"/>
      <c r="H16" s="18" t="s">
        <v>703</v>
      </c>
      <c r="I16" s="232">
        <v>7997</v>
      </c>
      <c r="J16" s="232"/>
      <c r="K16" s="345">
        <v>1434.6195934915595</v>
      </c>
    </row>
    <row r="17" spans="1:11" ht="9.75" customHeight="1">
      <c r="A17" s="177">
        <v>65</v>
      </c>
      <c r="B17" s="177">
        <v>41</v>
      </c>
      <c r="C17" s="18" t="s">
        <v>623</v>
      </c>
      <c r="D17" s="232">
        <v>3806</v>
      </c>
      <c r="E17" s="232"/>
      <c r="F17" s="345">
        <v>2107.3030286252147</v>
      </c>
      <c r="G17" s="177"/>
      <c r="H17" s="18" t="s">
        <v>612</v>
      </c>
      <c r="I17" s="232">
        <v>15723</v>
      </c>
      <c r="J17" s="232"/>
      <c r="K17" s="345">
        <v>1431.3401870401035</v>
      </c>
    </row>
    <row r="18" spans="1:11" ht="9.75" customHeight="1">
      <c r="A18" s="177">
        <v>78</v>
      </c>
      <c r="B18" s="177">
        <v>23</v>
      </c>
      <c r="C18" s="18" t="s">
        <v>639</v>
      </c>
      <c r="D18" s="232">
        <v>10829</v>
      </c>
      <c r="E18" s="232"/>
      <c r="F18" s="345">
        <v>2087.2444672312836</v>
      </c>
      <c r="G18" s="177"/>
      <c r="H18" s="18" t="s">
        <v>640</v>
      </c>
      <c r="I18" s="232">
        <v>4894</v>
      </c>
      <c r="J18" s="232"/>
      <c r="K18" s="345">
        <v>1403.4785850504009</v>
      </c>
    </row>
    <row r="19" spans="1:11" ht="9.75" customHeight="1">
      <c r="A19" s="177">
        <v>60</v>
      </c>
      <c r="B19" s="177">
        <v>82</v>
      </c>
      <c r="C19" s="18" t="s">
        <v>637</v>
      </c>
      <c r="D19" s="232">
        <v>5779</v>
      </c>
      <c r="E19" s="232"/>
      <c r="F19" s="345">
        <v>2061.5283634054636</v>
      </c>
      <c r="G19" s="177"/>
      <c r="H19" s="18" t="s">
        <v>413</v>
      </c>
      <c r="I19" s="232">
        <v>2650</v>
      </c>
      <c r="J19" s="232"/>
      <c r="K19" s="345">
        <v>1398.3726108935864</v>
      </c>
    </row>
    <row r="20" spans="1:11" ht="9.75" customHeight="1">
      <c r="A20" s="177">
        <v>1</v>
      </c>
      <c r="B20" s="177">
        <v>61</v>
      </c>
      <c r="C20" s="18" t="s">
        <v>615</v>
      </c>
      <c r="D20" s="232">
        <v>1875</v>
      </c>
      <c r="E20" s="232"/>
      <c r="F20" s="345">
        <v>2047.6362087606067</v>
      </c>
      <c r="G20" s="177"/>
      <c r="H20" s="18" t="s">
        <v>644</v>
      </c>
      <c r="I20" s="232">
        <v>11840</v>
      </c>
      <c r="J20" s="232"/>
      <c r="K20" s="345">
        <v>1393.6101093230634</v>
      </c>
    </row>
    <row r="21" spans="1:11" ht="9.75" customHeight="1">
      <c r="A21" s="177">
        <v>79</v>
      </c>
      <c r="B21" s="177">
        <v>79</v>
      </c>
      <c r="C21" s="18" t="s">
        <v>629</v>
      </c>
      <c r="D21" s="232">
        <v>6118</v>
      </c>
      <c r="E21" s="232"/>
      <c r="F21" s="345">
        <v>2021.4903121778436</v>
      </c>
      <c r="G21" s="177"/>
      <c r="H21" s="18" t="s">
        <v>620</v>
      </c>
      <c r="I21" s="232">
        <v>5567</v>
      </c>
      <c r="J21" s="232"/>
      <c r="K21" s="345">
        <v>1391.7847946198656</v>
      </c>
    </row>
    <row r="22" spans="1:11" ht="9.75" customHeight="1">
      <c r="A22" s="177">
        <v>85</v>
      </c>
      <c r="B22" s="177">
        <v>69</v>
      </c>
      <c r="C22" s="18" t="s">
        <v>643</v>
      </c>
      <c r="D22" s="232">
        <v>4467</v>
      </c>
      <c r="E22" s="232"/>
      <c r="F22" s="345">
        <v>2004.4063735366308</v>
      </c>
      <c r="G22" s="177"/>
      <c r="H22" s="18" t="s">
        <v>666</v>
      </c>
      <c r="I22" s="232">
        <v>13077</v>
      </c>
      <c r="J22" s="232"/>
      <c r="K22" s="345">
        <v>1370.7935130239534</v>
      </c>
    </row>
    <row r="23" spans="1:11" ht="9.75" customHeight="1">
      <c r="A23" s="177">
        <v>69</v>
      </c>
      <c r="B23" s="177">
        <v>72</v>
      </c>
      <c r="C23" s="18" t="s">
        <v>641</v>
      </c>
      <c r="D23" s="232">
        <v>7307</v>
      </c>
      <c r="E23" s="232"/>
      <c r="F23" s="345">
        <v>1975.981027120725</v>
      </c>
      <c r="G23" s="177"/>
      <c r="H23" s="18" t="s">
        <v>656</v>
      </c>
      <c r="I23" s="232">
        <v>10871</v>
      </c>
      <c r="J23" s="232"/>
      <c r="K23" s="345">
        <v>1334.551137333181</v>
      </c>
    </row>
    <row r="24" spans="1:11" ht="9.75" customHeight="1">
      <c r="A24" s="177">
        <v>61</v>
      </c>
      <c r="B24" s="177">
        <v>91</v>
      </c>
      <c r="C24" s="18" t="s">
        <v>659</v>
      </c>
      <c r="D24" s="232">
        <v>6570</v>
      </c>
      <c r="E24" s="232"/>
      <c r="F24" s="345">
        <v>1912.3519891953567</v>
      </c>
      <c r="G24" s="177"/>
      <c r="H24" s="18" t="s">
        <v>622</v>
      </c>
      <c r="I24" s="232">
        <v>2786</v>
      </c>
      <c r="J24" s="232"/>
      <c r="K24" s="345">
        <v>1324.4781242423235</v>
      </c>
    </row>
    <row r="25" spans="1:11" ht="9.75" customHeight="1">
      <c r="A25" s="177">
        <v>71</v>
      </c>
      <c r="B25" s="177">
        <v>11</v>
      </c>
      <c r="C25" s="18" t="s">
        <v>673</v>
      </c>
      <c r="D25" s="232">
        <v>3789</v>
      </c>
      <c r="E25" s="232"/>
      <c r="F25" s="345">
        <v>1898.9244940711858</v>
      </c>
      <c r="G25" s="177"/>
      <c r="H25" s="18" t="s">
        <v>628</v>
      </c>
      <c r="I25" s="232">
        <v>2646</v>
      </c>
      <c r="J25" s="232"/>
      <c r="K25" s="345">
        <v>1283.2637383422327</v>
      </c>
    </row>
    <row r="26" spans="1:11" ht="9.75" customHeight="1">
      <c r="A26" s="177">
        <v>82</v>
      </c>
      <c r="B26" s="177">
        <v>1</v>
      </c>
      <c r="C26" s="18" t="s">
        <v>653</v>
      </c>
      <c r="D26" s="232">
        <v>8417</v>
      </c>
      <c r="E26" s="232"/>
      <c r="F26" s="345">
        <v>1895.4816509629416</v>
      </c>
      <c r="G26" s="177"/>
      <c r="H26" s="18" t="s">
        <v>634</v>
      </c>
      <c r="I26" s="232">
        <v>8633</v>
      </c>
      <c r="J26" s="232"/>
      <c r="K26" s="345">
        <v>1275.3824448400417</v>
      </c>
    </row>
    <row r="27" spans="1:11" ht="9.75" customHeight="1">
      <c r="A27" s="177">
        <v>59</v>
      </c>
      <c r="B27" s="177">
        <v>60</v>
      </c>
      <c r="C27" s="18" t="s">
        <v>682</v>
      </c>
      <c r="D27" s="232">
        <v>6291</v>
      </c>
      <c r="E27" s="232"/>
      <c r="F27" s="345">
        <v>1882.276204809364</v>
      </c>
      <c r="G27" s="177"/>
      <c r="H27" s="18" t="s">
        <v>670</v>
      </c>
      <c r="I27" s="232">
        <v>6133</v>
      </c>
      <c r="J27" s="232"/>
      <c r="K27" s="345">
        <v>1202.292059148143</v>
      </c>
    </row>
    <row r="28" spans="1:11" ht="9.75" customHeight="1">
      <c r="A28" s="177">
        <v>76</v>
      </c>
      <c r="B28" s="177">
        <v>71</v>
      </c>
      <c r="C28" s="18" t="s">
        <v>675</v>
      </c>
      <c r="D28" s="232">
        <v>4687</v>
      </c>
      <c r="E28" s="232"/>
      <c r="F28" s="345">
        <v>1854.0421441540511</v>
      </c>
      <c r="G28" s="177"/>
      <c r="H28" s="18" t="s">
        <v>654</v>
      </c>
      <c r="I28" s="232">
        <v>5667</v>
      </c>
      <c r="J28" s="232"/>
      <c r="K28" s="345">
        <v>1147.1218718308405</v>
      </c>
    </row>
    <row r="29" spans="1:11" ht="9.75" customHeight="1">
      <c r="A29" s="177">
        <v>91</v>
      </c>
      <c r="B29" s="177">
        <v>81</v>
      </c>
      <c r="C29" s="18" t="s">
        <v>649</v>
      </c>
      <c r="D29" s="232">
        <v>9864</v>
      </c>
      <c r="E29" s="232"/>
      <c r="F29" s="345">
        <v>1828.454488833526</v>
      </c>
      <c r="G29" s="177"/>
      <c r="H29" s="18" t="s">
        <v>416</v>
      </c>
      <c r="I29" s="232">
        <v>3056</v>
      </c>
      <c r="J29" s="232"/>
      <c r="K29" s="345">
        <v>1123.4013770489394</v>
      </c>
    </row>
    <row r="30" spans="1:11" ht="9.75" customHeight="1">
      <c r="A30" s="177">
        <v>72</v>
      </c>
      <c r="B30" s="177">
        <v>83</v>
      </c>
      <c r="C30" s="18" t="s">
        <v>665</v>
      </c>
      <c r="D30" s="232">
        <v>3950</v>
      </c>
      <c r="E30" s="232"/>
      <c r="F30" s="345">
        <v>1825.4415720055827</v>
      </c>
      <c r="G30" s="177"/>
      <c r="H30" s="18" t="s">
        <v>648</v>
      </c>
      <c r="I30" s="232">
        <v>4508</v>
      </c>
      <c r="J30" s="232"/>
      <c r="K30" s="345">
        <v>1117.2852051412965</v>
      </c>
    </row>
    <row r="31" spans="1:11" ht="9.75" customHeight="1">
      <c r="A31" s="177">
        <v>81</v>
      </c>
      <c r="B31" s="177">
        <v>45</v>
      </c>
      <c r="C31" s="18" t="s">
        <v>680</v>
      </c>
      <c r="D31" s="232">
        <v>11175</v>
      </c>
      <c r="E31" s="232"/>
      <c r="F31" s="345">
        <v>1824.1056169394528</v>
      </c>
      <c r="G31" s="177"/>
      <c r="H31" s="18" t="s">
        <v>650</v>
      </c>
      <c r="I31" s="232">
        <v>3267</v>
      </c>
      <c r="J31" s="232"/>
      <c r="K31" s="345">
        <v>1113.2768573356323</v>
      </c>
    </row>
    <row r="32" spans="1:11" ht="9.75" customHeight="1">
      <c r="A32" s="177">
        <v>87</v>
      </c>
      <c r="B32" s="177">
        <v>88</v>
      </c>
      <c r="C32" s="18" t="s">
        <v>655</v>
      </c>
      <c r="D32" s="232">
        <v>6438</v>
      </c>
      <c r="E32" s="232"/>
      <c r="F32" s="345">
        <v>1816.458160518698</v>
      </c>
      <c r="G32" s="177"/>
      <c r="H32" s="18" t="s">
        <v>658</v>
      </c>
      <c r="I32" s="232">
        <v>6098</v>
      </c>
      <c r="J32" s="232"/>
      <c r="K32" s="345">
        <v>1065.067260971171</v>
      </c>
    </row>
    <row r="33" spans="1:11" ht="9.75" customHeight="1">
      <c r="A33" s="177">
        <v>83</v>
      </c>
      <c r="B33" s="177">
        <v>80</v>
      </c>
      <c r="C33" s="18" t="s">
        <v>645</v>
      </c>
      <c r="D33" s="232">
        <v>6040</v>
      </c>
      <c r="E33" s="232"/>
      <c r="F33" s="345">
        <v>1806.6685211939566</v>
      </c>
      <c r="G33" s="177"/>
      <c r="H33" s="18" t="s">
        <v>415</v>
      </c>
      <c r="I33" s="232">
        <v>3296</v>
      </c>
      <c r="J33" s="232"/>
      <c r="K33" s="345">
        <v>1064.998513654987</v>
      </c>
    </row>
    <row r="34" spans="1:11" ht="9.75" customHeight="1">
      <c r="A34" s="177">
        <v>89</v>
      </c>
      <c r="B34" s="177">
        <v>76</v>
      </c>
      <c r="C34" s="18" t="s">
        <v>627</v>
      </c>
      <c r="D34" s="232">
        <v>2838</v>
      </c>
      <c r="E34" s="232"/>
      <c r="F34" s="345">
        <v>1805.1712622841333</v>
      </c>
      <c r="G34" s="177"/>
      <c r="H34" s="18" t="s">
        <v>674</v>
      </c>
      <c r="I34" s="232">
        <v>39580</v>
      </c>
      <c r="J34" s="232"/>
      <c r="K34" s="345">
        <v>1053.3293911101448</v>
      </c>
    </row>
    <row r="35" spans="1:11" ht="9.75" customHeight="1">
      <c r="A35" s="177">
        <v>88</v>
      </c>
      <c r="B35" s="177">
        <v>90</v>
      </c>
      <c r="C35" s="18" t="s">
        <v>676</v>
      </c>
      <c r="D35" s="232">
        <v>3852</v>
      </c>
      <c r="E35" s="232"/>
      <c r="F35" s="345">
        <v>1787.9273132353965</v>
      </c>
      <c r="G35" s="177"/>
      <c r="H35" s="18" t="s">
        <v>672</v>
      </c>
      <c r="I35" s="232">
        <v>22780</v>
      </c>
      <c r="J35" s="232"/>
      <c r="K35" s="345">
        <v>1028.7759192370258</v>
      </c>
    </row>
    <row r="36" spans="1:11" ht="9.75" customHeight="1">
      <c r="A36" s="177">
        <v>84</v>
      </c>
      <c r="B36" s="177">
        <v>59</v>
      </c>
      <c r="C36" s="18" t="s">
        <v>684</v>
      </c>
      <c r="D36" s="232">
        <v>4329</v>
      </c>
      <c r="E36" s="232"/>
      <c r="F36" s="345">
        <v>1777.6773981603153</v>
      </c>
      <c r="G36" s="177"/>
      <c r="H36" s="18" t="s">
        <v>661</v>
      </c>
      <c r="I36" s="232">
        <v>4519</v>
      </c>
      <c r="J36" s="232"/>
      <c r="K36" s="345">
        <v>1025.9216040610058</v>
      </c>
    </row>
    <row r="37" spans="1:11" ht="9.75" customHeight="1">
      <c r="A37" s="177">
        <v>68</v>
      </c>
      <c r="B37" s="177">
        <v>89</v>
      </c>
      <c r="C37" s="18" t="s">
        <v>686</v>
      </c>
      <c r="D37" s="232">
        <v>5688</v>
      </c>
      <c r="E37" s="232"/>
      <c r="F37" s="345">
        <v>1767.9695392027352</v>
      </c>
      <c r="G37" s="177"/>
      <c r="H37" s="18" t="s">
        <v>689</v>
      </c>
      <c r="I37" s="232">
        <v>1859</v>
      </c>
      <c r="J37" s="232"/>
      <c r="K37" s="345">
        <v>1022.8391903119137</v>
      </c>
    </row>
    <row r="38" spans="1:11" ht="9.75" customHeight="1">
      <c r="A38" s="177">
        <v>77</v>
      </c>
      <c r="B38" s="177">
        <v>77</v>
      </c>
      <c r="C38" s="18" t="s">
        <v>651</v>
      </c>
      <c r="D38" s="232">
        <v>8006</v>
      </c>
      <c r="E38" s="232"/>
      <c r="F38" s="345">
        <v>1743.5238520422051</v>
      </c>
      <c r="G38" s="177"/>
      <c r="H38" s="18" t="s">
        <v>685</v>
      </c>
      <c r="I38" s="232">
        <v>38455</v>
      </c>
      <c r="J38" s="232"/>
      <c r="K38" s="345">
        <v>1007.4314937415071</v>
      </c>
    </row>
    <row r="39" spans="1:11" ht="9.75" customHeight="1">
      <c r="A39" s="177">
        <v>80</v>
      </c>
      <c r="B39" s="177">
        <v>84</v>
      </c>
      <c r="C39" s="18" t="s">
        <v>660</v>
      </c>
      <c r="D39" s="232">
        <v>5930</v>
      </c>
      <c r="E39" s="232"/>
      <c r="F39" s="345">
        <v>1721.3652487416327</v>
      </c>
      <c r="G39" s="177"/>
      <c r="H39" s="18" t="s">
        <v>664</v>
      </c>
      <c r="I39" s="232">
        <v>10946</v>
      </c>
      <c r="J39" s="232"/>
      <c r="K39" s="345">
        <v>1002.4185889763261</v>
      </c>
    </row>
    <row r="40" spans="1:11" ht="9.75" customHeight="1">
      <c r="A40" s="177">
        <v>90</v>
      </c>
      <c r="B40" s="177">
        <v>68</v>
      </c>
      <c r="C40" s="18" t="s">
        <v>688</v>
      </c>
      <c r="D40" s="232">
        <v>4993</v>
      </c>
      <c r="E40" s="232"/>
      <c r="F40" s="345">
        <v>1716.539006311968</v>
      </c>
      <c r="G40" s="177"/>
      <c r="H40" s="18" t="s">
        <v>668</v>
      </c>
      <c r="I40" s="232">
        <v>4256</v>
      </c>
      <c r="J40" s="232"/>
      <c r="K40" s="345">
        <v>980.6338636651651</v>
      </c>
    </row>
    <row r="41" spans="1:11" ht="9.75" customHeight="1">
      <c r="A41" s="177">
        <v>75</v>
      </c>
      <c r="B41" s="177">
        <v>75</v>
      </c>
      <c r="C41" s="18" t="s">
        <v>698</v>
      </c>
      <c r="D41" s="232">
        <v>6804</v>
      </c>
      <c r="E41" s="232"/>
      <c r="F41" s="345">
        <v>1713.4568311625517</v>
      </c>
      <c r="G41" s="177"/>
      <c r="H41" s="18" t="s">
        <v>414</v>
      </c>
      <c r="I41" s="232">
        <v>1913</v>
      </c>
      <c r="J41" s="232"/>
      <c r="K41" s="345">
        <v>977.4167177600654</v>
      </c>
    </row>
    <row r="42" spans="1:11" ht="9.75" customHeight="1">
      <c r="A42" s="177">
        <v>74</v>
      </c>
      <c r="B42" s="177">
        <v>74</v>
      </c>
      <c r="C42" s="18" t="s">
        <v>667</v>
      </c>
      <c r="D42" s="232">
        <v>6603</v>
      </c>
      <c r="E42" s="232"/>
      <c r="F42" s="345">
        <v>1709.3021449761584</v>
      </c>
      <c r="G42" s="177"/>
      <c r="H42" s="18" t="s">
        <v>679</v>
      </c>
      <c r="I42" s="232">
        <v>2790</v>
      </c>
      <c r="J42" s="232"/>
      <c r="K42" s="345">
        <v>924.2879007732215</v>
      </c>
    </row>
    <row r="43" spans="1:11" ht="9.75" customHeight="1">
      <c r="A43" s="177">
        <v>86</v>
      </c>
      <c r="B43" s="177">
        <v>73</v>
      </c>
      <c r="C43" s="18" t="s">
        <v>694</v>
      </c>
      <c r="D43" s="232">
        <v>5008</v>
      </c>
      <c r="E43" s="232"/>
      <c r="F43" s="345">
        <v>1702.4285442332273</v>
      </c>
      <c r="G43" s="177"/>
      <c r="H43" s="18" t="s">
        <v>687</v>
      </c>
      <c r="I43" s="232">
        <v>3628</v>
      </c>
      <c r="J43" s="232"/>
      <c r="K43" s="345">
        <v>881.5175319452915</v>
      </c>
    </row>
    <row r="44" spans="1:11" ht="9.75" customHeight="1">
      <c r="A44" s="177">
        <v>70</v>
      </c>
      <c r="B44" s="177">
        <v>70</v>
      </c>
      <c r="C44" s="18" t="s">
        <v>616</v>
      </c>
      <c r="D44" s="232">
        <v>5881</v>
      </c>
      <c r="E44" s="232"/>
      <c r="F44" s="345">
        <v>1677.1901005572572</v>
      </c>
      <c r="G44" s="177"/>
      <c r="H44" s="18" t="s">
        <v>677</v>
      </c>
      <c r="I44" s="232">
        <v>6409</v>
      </c>
      <c r="J44" s="232"/>
      <c r="K44" s="345">
        <v>859.7998942857986</v>
      </c>
    </row>
    <row r="45" spans="1:11" ht="9.75" customHeight="1">
      <c r="A45" s="177">
        <v>73</v>
      </c>
      <c r="B45" s="177">
        <v>86</v>
      </c>
      <c r="C45" s="18" t="s">
        <v>671</v>
      </c>
      <c r="D45" s="232">
        <v>4451</v>
      </c>
      <c r="E45" s="232"/>
      <c r="F45" s="345">
        <v>1672.7737377153917</v>
      </c>
      <c r="G45" s="177"/>
      <c r="H45" s="18" t="s">
        <v>652</v>
      </c>
      <c r="I45" s="232">
        <v>2414</v>
      </c>
      <c r="J45" s="232"/>
      <c r="K45" s="345">
        <v>855.2519698429794</v>
      </c>
    </row>
    <row r="46" spans="3:11" ht="9.75" customHeight="1">
      <c r="C46" s="18" t="s">
        <v>618</v>
      </c>
      <c r="D46" s="232">
        <v>12993</v>
      </c>
      <c r="E46" s="232"/>
      <c r="F46" s="345">
        <v>1657.1541537264604</v>
      </c>
      <c r="G46" s="177"/>
      <c r="H46" s="18" t="s">
        <v>681</v>
      </c>
      <c r="I46" s="232">
        <v>6959</v>
      </c>
      <c r="J46" s="232"/>
      <c r="K46" s="345">
        <v>852.9701969099901</v>
      </c>
    </row>
    <row r="47" spans="2:11" ht="9.75" customHeight="1">
      <c r="B47" s="196"/>
      <c r="C47" s="18" t="s">
        <v>700</v>
      </c>
      <c r="D47" s="232">
        <v>4448</v>
      </c>
      <c r="E47" s="232"/>
      <c r="F47" s="345">
        <v>1651.9042578872115</v>
      </c>
      <c r="G47" s="177"/>
      <c r="H47" s="18" t="s">
        <v>683</v>
      </c>
      <c r="I47" s="232">
        <v>9367</v>
      </c>
      <c r="J47" s="232"/>
      <c r="K47" s="345">
        <v>851.3844654828905</v>
      </c>
    </row>
    <row r="48" spans="3:11" ht="9.75" customHeight="1">
      <c r="C48" s="18" t="s">
        <v>678</v>
      </c>
      <c r="D48" s="232">
        <v>7349</v>
      </c>
      <c r="E48" s="232"/>
      <c r="F48" s="345">
        <v>1635.7100726710216</v>
      </c>
      <c r="G48" s="177"/>
      <c r="H48" s="18" t="s">
        <v>418</v>
      </c>
      <c r="I48" s="232">
        <v>1925</v>
      </c>
      <c r="J48" s="232"/>
      <c r="K48" s="345">
        <v>844.1982747657075</v>
      </c>
    </row>
    <row r="49" spans="3:11" ht="9.75" customHeight="1">
      <c r="C49" s="18" t="s">
        <v>624</v>
      </c>
      <c r="D49" s="232">
        <v>6034</v>
      </c>
      <c r="E49" s="232"/>
      <c r="F49" s="345">
        <v>1608.624831046406</v>
      </c>
      <c r="G49" s="177"/>
      <c r="H49" s="18" t="s">
        <v>695</v>
      </c>
      <c r="I49" s="232">
        <v>4658</v>
      </c>
      <c r="J49" s="232"/>
      <c r="K49" s="345">
        <v>792.350702790238</v>
      </c>
    </row>
    <row r="50" spans="3:11" ht="9.75" customHeight="1">
      <c r="C50" s="18" t="s">
        <v>626</v>
      </c>
      <c r="D50" s="232">
        <v>12522</v>
      </c>
      <c r="E50" s="232"/>
      <c r="F50" s="345">
        <v>1590.3880714544266</v>
      </c>
      <c r="G50" s="177"/>
      <c r="H50" s="18" t="s">
        <v>691</v>
      </c>
      <c r="I50" s="232">
        <v>9430</v>
      </c>
      <c r="J50" s="232"/>
      <c r="K50" s="345">
        <v>761.6749093946098</v>
      </c>
    </row>
    <row r="51" spans="3:11" ht="9.75" customHeight="1">
      <c r="C51" s="18" t="s">
        <v>669</v>
      </c>
      <c r="D51" s="232">
        <v>4630</v>
      </c>
      <c r="E51" s="232"/>
      <c r="F51" s="345">
        <v>1584.373898552163</v>
      </c>
      <c r="G51" s="177"/>
      <c r="H51" s="18" t="s">
        <v>697</v>
      </c>
      <c r="I51" s="234">
        <v>11979</v>
      </c>
      <c r="J51" s="234"/>
      <c r="K51" s="345">
        <v>760.0647187589226</v>
      </c>
    </row>
    <row r="52" spans="3:11" ht="9.75" customHeight="1">
      <c r="C52" s="18" t="s">
        <v>614</v>
      </c>
      <c r="D52" s="232">
        <v>11822</v>
      </c>
      <c r="E52" s="232"/>
      <c r="F52" s="345">
        <v>1543.2090707589164</v>
      </c>
      <c r="G52" s="177"/>
      <c r="H52" s="18" t="s">
        <v>693</v>
      </c>
      <c r="I52" s="234">
        <v>6279</v>
      </c>
      <c r="J52" s="234"/>
      <c r="K52" s="345">
        <v>733.7912078280411</v>
      </c>
    </row>
    <row r="53" spans="3:11" ht="9.75" customHeight="1">
      <c r="C53" s="18" t="s">
        <v>690</v>
      </c>
      <c r="D53" s="232">
        <v>5728</v>
      </c>
      <c r="E53" s="232"/>
      <c r="F53" s="345">
        <v>1531.518042394815</v>
      </c>
      <c r="G53" s="177"/>
      <c r="H53" s="18" t="s">
        <v>699</v>
      </c>
      <c r="I53" s="234">
        <v>4659</v>
      </c>
      <c r="J53" s="234"/>
      <c r="K53" s="345">
        <v>671.4223951578037</v>
      </c>
    </row>
    <row r="54" spans="3:11" ht="9.75" customHeight="1">
      <c r="C54" s="18" t="s">
        <v>663</v>
      </c>
      <c r="D54" s="232">
        <v>4070</v>
      </c>
      <c r="E54" s="232"/>
      <c r="F54" s="345">
        <v>1510.641298780352</v>
      </c>
      <c r="G54" s="177"/>
      <c r="H54" s="18" t="s">
        <v>417</v>
      </c>
      <c r="I54" s="234">
        <v>1153</v>
      </c>
      <c r="J54" s="234"/>
      <c r="K54" s="345">
        <v>662.0425131202701</v>
      </c>
    </row>
    <row r="55" spans="3:11" ht="9.75" customHeight="1">
      <c r="C55" s="18" t="s">
        <v>692</v>
      </c>
      <c r="D55" s="234">
        <v>14542</v>
      </c>
      <c r="E55" s="234"/>
      <c r="F55" s="346">
        <v>1506.7353411395113</v>
      </c>
      <c r="G55" s="177"/>
      <c r="H55" s="18" t="s">
        <v>702</v>
      </c>
      <c r="I55" s="234">
        <v>18874</v>
      </c>
      <c r="J55" s="234"/>
      <c r="K55" s="345">
        <v>608.9632524845404</v>
      </c>
    </row>
    <row r="56" spans="3:11" ht="9.75" customHeight="1">
      <c r="C56" s="18" t="s">
        <v>657</v>
      </c>
      <c r="D56" s="234">
        <v>2420</v>
      </c>
      <c r="E56" s="234"/>
      <c r="F56" s="346">
        <v>1505.4338697737494</v>
      </c>
      <c r="G56" s="177"/>
      <c r="H56" s="18" t="s">
        <v>704</v>
      </c>
      <c r="I56" s="234">
        <v>2538</v>
      </c>
      <c r="J56" s="234"/>
      <c r="K56" s="345">
        <v>540.81928368081</v>
      </c>
    </row>
    <row r="57" spans="3:11" ht="9.75" customHeight="1">
      <c r="C57" s="18" t="s">
        <v>613</v>
      </c>
      <c r="D57" s="234">
        <v>4561</v>
      </c>
      <c r="E57" s="234"/>
      <c r="F57" s="346">
        <v>1501.1239505132653</v>
      </c>
      <c r="G57" s="177"/>
      <c r="H57" s="18" t="s">
        <v>419</v>
      </c>
      <c r="I57" s="234">
        <v>890</v>
      </c>
      <c r="J57" s="234"/>
      <c r="K57" s="345">
        <v>503.8753106759289</v>
      </c>
    </row>
    <row r="58" spans="3:11" ht="9.75" customHeight="1">
      <c r="C58" s="18" t="s">
        <v>705</v>
      </c>
      <c r="D58" s="234">
        <v>3548</v>
      </c>
      <c r="E58" s="234"/>
      <c r="F58" s="346">
        <v>1500.7317547733253</v>
      </c>
      <c r="G58" s="177"/>
      <c r="H58" s="201" t="s">
        <v>225</v>
      </c>
      <c r="I58" s="235">
        <v>747560</v>
      </c>
      <c r="J58" s="235"/>
      <c r="K58" s="347">
        <v>1296.0495160402077</v>
      </c>
    </row>
    <row r="59" spans="3:11" ht="9" customHeight="1">
      <c r="C59" s="204"/>
      <c r="D59" s="204"/>
      <c r="E59" s="204"/>
      <c r="F59" s="205"/>
      <c r="G59" s="206"/>
      <c r="H59" s="199"/>
      <c r="I59" s="199"/>
      <c r="J59" s="199"/>
      <c r="K59" s="198"/>
    </row>
    <row r="60" ht="9.75" customHeight="1"/>
  </sheetData>
  <mergeCells count="1">
    <mergeCell ref="C4:K4"/>
  </mergeCells>
  <printOptions horizontalCentered="1"/>
  <pageMargins left="1.1811023622047245" right="1.1811023622047245" top="1.1811023622047245" bottom="1.5748031496062993" header="0" footer="1.2598425196850394"/>
  <pageSetup firstPageNumber="188" useFirstPageNumber="1" horizontalDpi="300" verticalDpi="300" orientation="portrait" paperSize="9" r:id="rId2"/>
  <headerFooter alignWithMargins="0">
    <oddFooter>&amp;C&amp;9 188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PC-ISTAT1</cp:lastModifiedBy>
  <cp:lastPrinted>2002-10-15T09:36:31Z</cp:lastPrinted>
  <dcterms:created xsi:type="dcterms:W3CDTF">2001-09-28T13:02:28Z</dcterms:created>
  <dcterms:modified xsi:type="dcterms:W3CDTF">2002-10-15T09:37:20Z</dcterms:modified>
  <cp:category/>
  <cp:version/>
  <cp:contentType/>
  <cp:contentStatus/>
</cp:coreProperties>
</file>