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 (3)" sheetId="1" r:id="rId1"/>
    <sheet name="Foglio1 (2)" sheetId="2" r:id="rId2"/>
  </sheets>
  <definedNames/>
  <calcPr fullCalcOnLoad="1"/>
</workbook>
</file>

<file path=xl/sharedStrings.xml><?xml version="1.0" encoding="utf-8"?>
<sst xmlns="http://schemas.openxmlformats.org/spreadsheetml/2006/main" count="141" uniqueCount="56">
  <si>
    <t>Totale</t>
  </si>
  <si>
    <t>Da macello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</si>
  <si>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</si>
  <si>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</si>
  <si>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</si>
  <si>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</si>
  <si>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</si>
  <si>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</si>
  <si>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</si>
  <si>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</si>
  <si>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</si>
  <si>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</si>
  <si>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</si>
  <si>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</si>
  <si>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</si>
  <si>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</si>
  <si>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</si>
  <si>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</si>
  <si>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</si>
  <si>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</si>
  <si>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</si>
  <si>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</si>
  <si>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</si>
  <si>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</si>
  <si>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</si>
  <si>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</si>
  <si>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Destinati ad essere macellati come vitelli</t>
  </si>
  <si>
    <t>Maschi                          (vitelloni e torelli)</t>
  </si>
  <si>
    <t xml:space="preserve">Da macello                     (vitelloni e manze) </t>
  </si>
  <si>
    <t>Da allevamento (manzette e manze)</t>
  </si>
  <si>
    <t>Maschi                              (vitelloni, manzi,               torelli e tori)</t>
  </si>
  <si>
    <t>Femmine                              (vitelloni e manzette)</t>
  </si>
  <si>
    <t>Manze</t>
  </si>
  <si>
    <t>Vacche</t>
  </si>
  <si>
    <t>Da allevamento</t>
  </si>
  <si>
    <t xml:space="preserve">Da latte </t>
  </si>
  <si>
    <t>Altre</t>
  </si>
  <si>
    <t>Maschi                       (manzi, buoi               e tori)</t>
  </si>
  <si>
    <t>Bufale</t>
  </si>
  <si>
    <t>Altri bufalini</t>
  </si>
  <si>
    <t>Bovini in complesso</t>
  </si>
  <si>
    <t>Nord</t>
  </si>
  <si>
    <t>Centro</t>
  </si>
  <si>
    <t>Tavola  5.1  -  Consistenza del bestiame bovino e bufalino al 1° dicembre 2001,  per categoria</t>
  </si>
  <si>
    <t>Bufalini in complesso</t>
  </si>
  <si>
    <t>Bovini e Bufalini</t>
  </si>
  <si>
    <t>Altri</t>
  </si>
  <si>
    <t>Femmine</t>
  </si>
  <si>
    <t>Bovini di meno di 1 anno</t>
  </si>
  <si>
    <t>Bovini da 1 anno a meno di 2 anni</t>
  </si>
  <si>
    <t>Bovini di 2 anni e più</t>
  </si>
  <si>
    <r>
      <t xml:space="preserve">                         e regione  </t>
    </r>
    <r>
      <rPr>
        <i/>
        <sz val="9"/>
        <rFont val="Arial"/>
        <family val="2"/>
      </rPr>
      <t xml:space="preserve"> (numero di capi)</t>
    </r>
  </si>
  <si>
    <t>REGIONI</t>
  </si>
  <si>
    <r>
      <t xml:space="preserve">Tavola  5.1 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Consistenza del bestiame bovino e bufalino al 1° dicembre 2001, per  </t>
    </r>
  </si>
  <si>
    <r>
      <t xml:space="preserve">                                    categoria e regione  </t>
    </r>
    <r>
      <rPr>
        <i/>
        <sz val="9"/>
        <rFont val="Arial"/>
        <family val="2"/>
      </rPr>
      <t>(numero di capi)</t>
    </r>
  </si>
  <si>
    <t>Bufalini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</si>
</sst>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_);\(#,##0.0\)"/>
    <numFmt numFmtId="174" formatCode="0.0_)"/>
    <numFmt numFmtId="175" formatCode="#,##0_);\(#,##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 quotePrefix="1">
      <alignment horizontal="left"/>
    </xf>
    <xf numFmtId="175" fontId="4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>
      <alignment/>
    </xf>
    <xf numFmtId="175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41" fontId="4" fillId="0" borderId="0" xfId="16" applyFont="1" applyBorder="1" applyAlignment="1" quotePrefix="1">
      <alignment horizontal="right"/>
    </xf>
    <xf numFmtId="41" fontId="4" fillId="0" borderId="0" xfId="16" applyFont="1" applyAlignment="1" applyProtection="1">
      <alignment/>
      <protection/>
    </xf>
    <xf numFmtId="41" fontId="9" fillId="0" borderId="0" xfId="16" applyFont="1" applyAlignment="1" applyProtection="1">
      <alignment/>
      <protection/>
    </xf>
    <xf numFmtId="41" fontId="5" fillId="0" borderId="0" xfId="16" applyFont="1" applyBorder="1" applyAlignment="1" quotePrefix="1">
      <alignment horizontal="right"/>
    </xf>
    <xf numFmtId="41" fontId="5" fillId="0" borderId="0" xfId="16" applyFont="1" applyAlignment="1">
      <alignment/>
    </xf>
    <xf numFmtId="41" fontId="5" fillId="0" borderId="0" xfId="16" applyFont="1" applyBorder="1" applyAlignment="1">
      <alignment/>
    </xf>
    <xf numFmtId="41" fontId="4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41" fontId="5" fillId="0" borderId="0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9" fillId="0" borderId="0" xfId="16" applyFont="1" applyBorder="1" applyAlignment="1" quotePrefix="1">
      <alignment horizontal="right"/>
    </xf>
    <xf numFmtId="41" fontId="9" fillId="0" borderId="0" xfId="16" applyFont="1" applyBorder="1" applyAlignment="1">
      <alignment horizontal="right"/>
    </xf>
    <xf numFmtId="41" fontId="9" fillId="0" borderId="0" xfId="16" applyFont="1" applyAlignment="1">
      <alignment horizontal="right"/>
    </xf>
    <xf numFmtId="41" fontId="5" fillId="0" borderId="0" xfId="16" applyFont="1" applyAlignment="1" applyProtection="1">
      <alignment/>
      <protection/>
    </xf>
    <xf numFmtId="41" fontId="5" fillId="0" borderId="1" xfId="16" applyFont="1" applyBorder="1" applyAlignment="1" quotePrefix="1">
      <alignment horizontal="right"/>
    </xf>
    <xf numFmtId="41" fontId="5" fillId="0" borderId="1" xfId="16" applyFont="1" applyBorder="1" applyAlignment="1">
      <alignment horizontal="right"/>
    </xf>
    <xf numFmtId="41" fontId="5" fillId="0" borderId="1" xfId="16" applyFont="1" applyBorder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1" fontId="5" fillId="0" borderId="0" xfId="16" applyFont="1" applyBorder="1" applyAlignment="1" applyProtection="1">
      <alignment/>
      <protection/>
    </xf>
    <xf numFmtId="41" fontId="4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1" fontId="4" fillId="0" borderId="2" xfId="16" applyFont="1" applyBorder="1" applyAlignment="1">
      <alignment horizontal="right" vertical="center" wrapText="1"/>
    </xf>
    <xf numFmtId="0" fontId="0" fillId="0" borderId="2" xfId="0" applyBorder="1" applyAlignment="1">
      <alignment/>
    </xf>
    <xf numFmtId="41" fontId="5" fillId="0" borderId="2" xfId="16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4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1" fontId="4" fillId="0" borderId="0" xfId="16" applyFont="1" applyAlignment="1">
      <alignment horizontal="right"/>
    </xf>
    <xf numFmtId="41" fontId="4" fillId="0" borderId="3" xfId="16" applyFont="1" applyBorder="1" applyAlignment="1">
      <alignment horizontal="center" vertical="center"/>
    </xf>
    <xf numFmtId="41" fontId="4" fillId="0" borderId="2" xfId="16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1" fontId="4" fillId="0" borderId="3" xfId="16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1" fontId="5" fillId="0" borderId="0" xfId="16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47625" cy="152400"/>
    <xdr:sp>
      <xdr:nvSpPr>
        <xdr:cNvPr id="1" name="TextBox 1"/>
        <xdr:cNvSpPr txBox="1">
          <a:spLocks noChangeArrowheads="1"/>
        </xdr:cNvSpPr>
      </xdr:nvSpPr>
      <xdr:spPr>
        <a:xfrm>
          <a:off x="4905375" y="5334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05375" y="53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34</xdr:row>
      <xdr:rowOff>0</xdr:rowOff>
    </xdr:from>
    <xdr:to>
      <xdr:col>5</xdr:col>
      <xdr:colOff>47625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414337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905375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05375" y="4143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381000</xdr:colOff>
      <xdr:row>4</xdr:row>
      <xdr:rowOff>0</xdr:rowOff>
    </xdr:from>
    <xdr:ext cx="47625" cy="152400"/>
    <xdr:sp>
      <xdr:nvSpPr>
        <xdr:cNvPr id="1" name="TextBox 1"/>
        <xdr:cNvSpPr txBox="1">
          <a:spLocks noChangeArrowheads="1"/>
        </xdr:cNvSpPr>
      </xdr:nvSpPr>
      <xdr:spPr>
        <a:xfrm>
          <a:off x="4048125" y="5334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361950</xdr:colOff>
      <xdr:row>4</xdr:row>
      <xdr:rowOff>0</xdr:rowOff>
    </xdr:from>
    <xdr:to>
      <xdr:col>9</xdr:col>
      <xdr:colOff>47625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29075" y="5334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</xdr:row>
      <xdr:rowOff>0</xdr:rowOff>
    </xdr:from>
    <xdr:to>
      <xdr:col>6</xdr:col>
      <xdr:colOff>47625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86050" y="5334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181725" y="53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409575</xdr:colOff>
      <xdr:row>4</xdr:row>
      <xdr:rowOff>0</xdr:rowOff>
    </xdr:from>
    <xdr:to>
      <xdr:col>11</xdr:col>
      <xdr:colOff>66675</xdr:colOff>
      <xdr:row>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91125" y="533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421875" style="0" customWidth="1"/>
    <col min="3" max="3" width="2.57421875" style="0" customWidth="1"/>
    <col min="4" max="5" width="14.8515625" style="0" customWidth="1"/>
    <col min="6" max="6" width="13.140625" style="0" customWidth="1"/>
  </cols>
  <sheetData>
    <row r="1" ht="9" customHeight="1"/>
    <row r="2" spans="1:6" ht="12" customHeight="1">
      <c r="A2" s="8" t="s">
        <v>43</v>
      </c>
      <c r="B2" s="4"/>
      <c r="C2" s="4"/>
      <c r="D2" s="4"/>
      <c r="E2" s="4"/>
      <c r="F2" s="4"/>
    </row>
    <row r="3" spans="1:6" ht="12" customHeight="1">
      <c r="A3" s="36" t="s">
        <v>51</v>
      </c>
      <c r="B3" s="4"/>
      <c r="C3" s="4"/>
      <c r="D3" s="4"/>
      <c r="E3" s="4"/>
      <c r="F3" s="4"/>
    </row>
    <row r="4" spans="1:6" ht="9" customHeight="1">
      <c r="A4" s="13"/>
      <c r="B4" s="14"/>
      <c r="C4" s="14"/>
      <c r="D4" s="14"/>
      <c r="E4" s="14"/>
      <c r="F4" s="14"/>
    </row>
    <row r="5" spans="1:6" s="1" customFormat="1" ht="14.25" customHeight="1">
      <c r="A5" s="52" t="s">
        <v>52</v>
      </c>
      <c r="B5" s="55" t="s">
        <v>48</v>
      </c>
      <c r="C5" s="55"/>
      <c r="D5" s="55"/>
      <c r="E5" s="55"/>
      <c r="F5" s="57" t="s">
        <v>0</v>
      </c>
    </row>
    <row r="6" spans="1:6" s="1" customFormat="1" ht="9.75" customHeight="1">
      <c r="A6" s="53"/>
      <c r="B6" s="57" t="s">
        <v>26</v>
      </c>
      <c r="C6" s="32"/>
      <c r="D6" s="56" t="s">
        <v>46</v>
      </c>
      <c r="E6" s="56"/>
      <c r="F6" s="59"/>
    </row>
    <row r="7" spans="1:6" s="1" customFormat="1" ht="17.25" customHeight="1">
      <c r="A7" s="54"/>
      <c r="B7" s="58"/>
      <c r="C7" s="37"/>
      <c r="D7" s="33" t="s">
        <v>27</v>
      </c>
      <c r="E7" s="33" t="s">
        <v>31</v>
      </c>
      <c r="F7" s="58"/>
    </row>
    <row r="8" s="1" customFormat="1" ht="9" customHeight="1"/>
    <row r="9" spans="1:6" s="1" customFormat="1" ht="9" customHeight="1">
      <c r="A9" s="1" t="s">
        <v>2</v>
      </c>
      <c r="B9" s="15">
        <v>37453</v>
      </c>
      <c r="C9" s="15"/>
      <c r="D9" s="16">
        <f>10937+77690</f>
        <v>88627</v>
      </c>
      <c r="E9" s="16">
        <f>79305+28321</f>
        <v>107626</v>
      </c>
      <c r="F9" s="9">
        <f>SUM(B9:E9)</f>
        <v>233706</v>
      </c>
    </row>
    <row r="10" spans="1:6" s="1" customFormat="1" ht="9" customHeight="1">
      <c r="A10" s="1" t="s">
        <v>3</v>
      </c>
      <c r="B10" s="15">
        <v>194</v>
      </c>
      <c r="C10" s="15"/>
      <c r="D10" s="16">
        <f>927+682</f>
        <v>1609</v>
      </c>
      <c r="E10" s="16">
        <f>7239+74</f>
        <v>7313</v>
      </c>
      <c r="F10" s="9">
        <f aca="true" t="shared" si="0" ref="F10:F30">SUM(B10:E10)</f>
        <v>9116</v>
      </c>
    </row>
    <row r="11" spans="1:6" s="1" customFormat="1" ht="9" customHeight="1">
      <c r="A11" s="1" t="s">
        <v>4</v>
      </c>
      <c r="B11" s="15">
        <v>222585</v>
      </c>
      <c r="C11" s="15"/>
      <c r="D11" s="16">
        <f>16340+133052</f>
        <v>149392</v>
      </c>
      <c r="E11" s="16">
        <f>240115+24154</f>
        <v>264269</v>
      </c>
      <c r="F11" s="9">
        <f t="shared" si="0"/>
        <v>636246</v>
      </c>
    </row>
    <row r="12" spans="1:6" s="1" customFormat="1" ht="9" customHeight="1">
      <c r="A12" s="1" t="s">
        <v>5</v>
      </c>
      <c r="B12" s="15">
        <f>SUM(B13:B14)</f>
        <v>2239</v>
      </c>
      <c r="C12" s="15"/>
      <c r="D12" s="15">
        <f>SUM(D13:D14)</f>
        <v>4155</v>
      </c>
      <c r="E12" s="15">
        <f>SUM(E13:E14)</f>
        <v>37792</v>
      </c>
      <c r="F12" s="9">
        <f t="shared" si="0"/>
        <v>44186</v>
      </c>
    </row>
    <row r="13" spans="1:6" s="1" customFormat="1" ht="9" customHeight="1">
      <c r="A13" s="12" t="s">
        <v>6</v>
      </c>
      <c r="B13" s="25">
        <v>1251</v>
      </c>
      <c r="C13" s="25"/>
      <c r="D13" s="17">
        <f>1555+1493</f>
        <v>3048</v>
      </c>
      <c r="E13" s="17">
        <f>30863+426</f>
        <v>31289</v>
      </c>
      <c r="F13" s="11">
        <f t="shared" si="0"/>
        <v>35588</v>
      </c>
    </row>
    <row r="14" spans="1:6" s="1" customFormat="1" ht="9" customHeight="1">
      <c r="A14" s="12" t="s">
        <v>7</v>
      </c>
      <c r="B14" s="25">
        <v>988</v>
      </c>
      <c r="C14" s="25"/>
      <c r="D14" s="17">
        <f>105+1002</f>
        <v>1107</v>
      </c>
      <c r="E14" s="17">
        <f>6179+324</f>
        <v>6503</v>
      </c>
      <c r="F14" s="11">
        <f t="shared" si="0"/>
        <v>8598</v>
      </c>
    </row>
    <row r="15" spans="1:6" s="1" customFormat="1" ht="9" customHeight="1">
      <c r="A15" s="1" t="s">
        <v>8</v>
      </c>
      <c r="B15" s="15">
        <v>116870</v>
      </c>
      <c r="C15" s="15"/>
      <c r="D15" s="16">
        <f>15028+136151</f>
        <v>151179</v>
      </c>
      <c r="E15" s="16">
        <f>79370+22156</f>
        <v>101526</v>
      </c>
      <c r="F15" s="9">
        <f t="shared" si="0"/>
        <v>369575</v>
      </c>
    </row>
    <row r="16" spans="1:6" s="1" customFormat="1" ht="9" customHeight="1">
      <c r="A16" s="1" t="s">
        <v>9</v>
      </c>
      <c r="B16" s="15">
        <v>1563</v>
      </c>
      <c r="C16" s="15"/>
      <c r="D16" s="16">
        <f>2490+4922</f>
        <v>7412</v>
      </c>
      <c r="E16" s="16">
        <f>19062+1401</f>
        <v>20463</v>
      </c>
      <c r="F16" s="9">
        <f t="shared" si="0"/>
        <v>29438</v>
      </c>
    </row>
    <row r="17" spans="1:6" s="1" customFormat="1" ht="9" customHeight="1">
      <c r="A17" s="1" t="s">
        <v>10</v>
      </c>
      <c r="B17" s="15">
        <v>660</v>
      </c>
      <c r="C17" s="15"/>
      <c r="D17" s="16">
        <f>358+1586</f>
        <v>1944</v>
      </c>
      <c r="E17" s="16">
        <f>2106+589</f>
        <v>2695</v>
      </c>
      <c r="F17" s="9">
        <f t="shared" si="0"/>
        <v>5299</v>
      </c>
    </row>
    <row r="18" spans="1:6" s="1" customFormat="1" ht="9" customHeight="1">
      <c r="A18" s="1" t="s">
        <v>11</v>
      </c>
      <c r="B18" s="15">
        <v>7593</v>
      </c>
      <c r="C18" s="15"/>
      <c r="D18" s="16">
        <f>8349+24409</f>
        <v>32758</v>
      </c>
      <c r="E18" s="16">
        <f>98411+8855</f>
        <v>107266</v>
      </c>
      <c r="F18" s="9">
        <f t="shared" si="0"/>
        <v>147617</v>
      </c>
    </row>
    <row r="19" spans="1:6" s="1" customFormat="1" ht="9" customHeight="1">
      <c r="A19" s="1" t="s">
        <v>12</v>
      </c>
      <c r="B19" s="15">
        <v>12372</v>
      </c>
      <c r="C19" s="15"/>
      <c r="D19" s="16">
        <f>2599+8269</f>
        <v>10868</v>
      </c>
      <c r="E19" s="16">
        <f>7809+5587</f>
        <v>13396</v>
      </c>
      <c r="F19" s="9">
        <f t="shared" si="0"/>
        <v>36636</v>
      </c>
    </row>
    <row r="20" spans="1:6" s="1" customFormat="1" ht="9" customHeight="1">
      <c r="A20" s="1" t="s">
        <v>13</v>
      </c>
      <c r="B20" s="15">
        <v>5464</v>
      </c>
      <c r="C20" s="15"/>
      <c r="D20" s="16">
        <f>1415+5542</f>
        <v>6957</v>
      </c>
      <c r="E20" s="16">
        <f>3853+2303</f>
        <v>6156</v>
      </c>
      <c r="F20" s="9">
        <f t="shared" si="0"/>
        <v>18577</v>
      </c>
    </row>
    <row r="21" spans="1:6" s="1" customFormat="1" ht="9" customHeight="1">
      <c r="A21" s="1" t="s">
        <v>14</v>
      </c>
      <c r="B21" s="15">
        <v>4461</v>
      </c>
      <c r="C21" s="15"/>
      <c r="D21" s="16">
        <f>1172+9581</f>
        <v>10753</v>
      </c>
      <c r="E21" s="16">
        <f>4855+3487</f>
        <v>8342</v>
      </c>
      <c r="F21" s="9">
        <f t="shared" si="0"/>
        <v>23556</v>
      </c>
    </row>
    <row r="22" spans="1:6" s="1" customFormat="1" ht="9" customHeight="1">
      <c r="A22" s="1" t="s">
        <v>15</v>
      </c>
      <c r="B22" s="15">
        <v>7201</v>
      </c>
      <c r="C22" s="15"/>
      <c r="D22" s="16">
        <f>4515+11626</f>
        <v>16141</v>
      </c>
      <c r="E22" s="16">
        <f>31368+4500</f>
        <v>35868</v>
      </c>
      <c r="F22" s="9">
        <f t="shared" si="0"/>
        <v>59210</v>
      </c>
    </row>
    <row r="23" spans="1:6" s="1" customFormat="1" ht="9" customHeight="1">
      <c r="A23" s="1" t="s">
        <v>16</v>
      </c>
      <c r="B23" s="15">
        <v>4114</v>
      </c>
      <c r="C23" s="15"/>
      <c r="D23" s="16">
        <f>1291+8305</f>
        <v>9596</v>
      </c>
      <c r="E23" s="16">
        <f>7926+2916</f>
        <v>10842</v>
      </c>
      <c r="F23" s="9">
        <f t="shared" si="0"/>
        <v>24552</v>
      </c>
    </row>
    <row r="24" spans="1:6" s="1" customFormat="1" ht="9" customHeight="1">
      <c r="A24" s="1" t="s">
        <v>17</v>
      </c>
      <c r="B24" s="15">
        <v>2630</v>
      </c>
      <c r="C24" s="15"/>
      <c r="D24" s="16">
        <f>720+5805</f>
        <v>6525</v>
      </c>
      <c r="E24" s="16">
        <f>4614+2448</f>
        <v>7062</v>
      </c>
      <c r="F24" s="9">
        <f t="shared" si="0"/>
        <v>16217</v>
      </c>
    </row>
    <row r="25" spans="1:6" s="1" customFormat="1" ht="9" customHeight="1">
      <c r="A25" s="1" t="s">
        <v>18</v>
      </c>
      <c r="B25" s="15">
        <v>7196</v>
      </c>
      <c r="C25" s="15"/>
      <c r="D25" s="16">
        <f>4826+18051</f>
        <v>22877</v>
      </c>
      <c r="E25" s="16">
        <f>19223+8081</f>
        <v>27304</v>
      </c>
      <c r="F25" s="9">
        <f t="shared" si="0"/>
        <v>57377</v>
      </c>
    </row>
    <row r="26" spans="1:6" s="1" customFormat="1" ht="9" customHeight="1">
      <c r="A26" s="1" t="s">
        <v>19</v>
      </c>
      <c r="B26" s="15">
        <v>5628</v>
      </c>
      <c r="C26" s="15"/>
      <c r="D26" s="16">
        <f>5432+7659</f>
        <v>13091</v>
      </c>
      <c r="E26" s="16">
        <f>22967+2191</f>
        <v>25158</v>
      </c>
      <c r="F26" s="9">
        <f t="shared" si="0"/>
        <v>43877</v>
      </c>
    </row>
    <row r="27" spans="1:6" s="1" customFormat="1" ht="9" customHeight="1">
      <c r="A27" s="1" t="s">
        <v>20</v>
      </c>
      <c r="B27" s="15">
        <v>4734</v>
      </c>
      <c r="C27" s="15"/>
      <c r="D27" s="16">
        <f>2000+5304</f>
        <v>7304</v>
      </c>
      <c r="E27" s="16">
        <f>6859+1887</f>
        <v>8746</v>
      </c>
      <c r="F27" s="9">
        <f t="shared" si="0"/>
        <v>20784</v>
      </c>
    </row>
    <row r="28" spans="1:6" s="1" customFormat="1" ht="9" customHeight="1">
      <c r="A28" s="1" t="s">
        <v>21</v>
      </c>
      <c r="B28" s="15">
        <v>10734</v>
      </c>
      <c r="C28" s="15"/>
      <c r="D28" s="16">
        <f>6143+11032</f>
        <v>17175</v>
      </c>
      <c r="E28" s="16">
        <f>7034+4363</f>
        <v>11397</v>
      </c>
      <c r="F28" s="9">
        <f t="shared" si="0"/>
        <v>39306</v>
      </c>
    </row>
    <row r="29" spans="1:6" s="1" customFormat="1" ht="9" customHeight="1">
      <c r="A29" s="1" t="s">
        <v>22</v>
      </c>
      <c r="B29" s="15">
        <v>17449</v>
      </c>
      <c r="C29" s="15"/>
      <c r="D29" s="16">
        <f>10139+28407</f>
        <v>38546</v>
      </c>
      <c r="E29" s="16">
        <f>27120+11945</f>
        <v>39065</v>
      </c>
      <c r="F29" s="9">
        <f t="shared" si="0"/>
        <v>95060</v>
      </c>
    </row>
    <row r="30" spans="1:6" s="1" customFormat="1" ht="9" customHeight="1">
      <c r="A30" s="1" t="s">
        <v>23</v>
      </c>
      <c r="B30" s="15">
        <v>25131</v>
      </c>
      <c r="C30" s="15"/>
      <c r="D30" s="16">
        <f>11208+15913</f>
        <v>27121</v>
      </c>
      <c r="E30" s="16">
        <f>24919+6835</f>
        <v>31754</v>
      </c>
      <c r="F30" s="9">
        <f t="shared" si="0"/>
        <v>84006</v>
      </c>
    </row>
    <row r="31" spans="1:6" s="1" customFormat="1" ht="9" customHeight="1">
      <c r="A31" s="3" t="s">
        <v>24</v>
      </c>
      <c r="B31" s="18">
        <f>SUM(B9:B30)-B12</f>
        <v>496271</v>
      </c>
      <c r="C31" s="18"/>
      <c r="D31" s="19">
        <f>SUM(D9:D30)-D12</f>
        <v>624030</v>
      </c>
      <c r="E31" s="19">
        <f>SUM(E9:E30)-E12</f>
        <v>874040</v>
      </c>
      <c r="F31" s="10">
        <f>+B31+D31+E31</f>
        <v>1994341</v>
      </c>
    </row>
    <row r="32" spans="1:6" s="1" customFormat="1" ht="9" customHeight="1">
      <c r="A32" s="3" t="s">
        <v>41</v>
      </c>
      <c r="B32" s="18">
        <f>SUM(B9:B18)-B12</f>
        <v>389157</v>
      </c>
      <c r="C32" s="18"/>
      <c r="D32" s="18">
        <f>SUM(D9:D18)-D12</f>
        <v>437076</v>
      </c>
      <c r="E32" s="18">
        <f>SUM(E9:E18)-E12</f>
        <v>648950</v>
      </c>
      <c r="F32" s="18">
        <f>SUM(F9:F18)-F12</f>
        <v>1475183</v>
      </c>
    </row>
    <row r="33" spans="1:6" s="1" customFormat="1" ht="9" customHeight="1">
      <c r="A33" s="3" t="s">
        <v>42</v>
      </c>
      <c r="B33" s="18">
        <f>SUM(B19:B22)</f>
        <v>29498</v>
      </c>
      <c r="C33" s="18"/>
      <c r="D33" s="18">
        <f>SUM(D19:D22)</f>
        <v>44719</v>
      </c>
      <c r="E33" s="18">
        <f>SUM(E19:E22)</f>
        <v>63762</v>
      </c>
      <c r="F33" s="18">
        <f>SUM(F19:F22)</f>
        <v>137979</v>
      </c>
    </row>
    <row r="34" spans="1:6" s="1" customFormat="1" ht="9" customHeight="1">
      <c r="A34" s="5" t="s">
        <v>25</v>
      </c>
      <c r="B34" s="18">
        <f>SUM(B23:B30)</f>
        <v>77616</v>
      </c>
      <c r="C34" s="18"/>
      <c r="D34" s="20">
        <f>SUM(D23:D30)</f>
        <v>142235</v>
      </c>
      <c r="E34" s="20">
        <f>SUM(E23:E30)</f>
        <v>161328</v>
      </c>
      <c r="F34" s="10">
        <f>+B34+D34+E34</f>
        <v>381179</v>
      </c>
    </row>
    <row r="35" spans="1:6" ht="9" customHeight="1">
      <c r="A35" s="6"/>
      <c r="B35" s="6"/>
      <c r="C35" s="6"/>
      <c r="D35" s="6"/>
      <c r="E35" s="6"/>
      <c r="F35" s="7"/>
    </row>
    <row r="36" spans="1:6" ht="14.25" customHeight="1">
      <c r="A36" s="52" t="s">
        <v>52</v>
      </c>
      <c r="B36" s="55" t="s">
        <v>49</v>
      </c>
      <c r="C36" s="55"/>
      <c r="D36" s="55"/>
      <c r="E36" s="55"/>
      <c r="F36" s="57" t="s">
        <v>0</v>
      </c>
    </row>
    <row r="37" spans="1:6" ht="11.25" customHeight="1">
      <c r="A37" s="53"/>
      <c r="B37" s="57" t="s">
        <v>30</v>
      </c>
      <c r="C37" s="34"/>
      <c r="D37" s="56" t="s">
        <v>47</v>
      </c>
      <c r="E37" s="56"/>
      <c r="F37" s="59"/>
    </row>
    <row r="38" spans="1:6" ht="19.5" customHeight="1">
      <c r="A38" s="54"/>
      <c r="B38" s="58"/>
      <c r="C38" s="35"/>
      <c r="D38" s="33" t="s">
        <v>28</v>
      </c>
      <c r="E38" s="33" t="s">
        <v>29</v>
      </c>
      <c r="F38" s="58"/>
    </row>
    <row r="39" ht="9" customHeight="1"/>
    <row r="40" spans="1:8" ht="9" customHeight="1">
      <c r="A40" s="1" t="s">
        <v>2</v>
      </c>
      <c r="B40" s="21">
        <f>7012+104710</f>
        <v>111722</v>
      </c>
      <c r="D40" s="22">
        <v>34936</v>
      </c>
      <c r="E40" s="16">
        <v>80876</v>
      </c>
      <c r="F40" s="16">
        <f>SUM(B40:E40)</f>
        <v>227534</v>
      </c>
      <c r="G40" s="50"/>
      <c r="H40" s="50"/>
    </row>
    <row r="41" spans="1:7" ht="9" customHeight="1">
      <c r="A41" s="1" t="s">
        <v>3</v>
      </c>
      <c r="B41" s="21">
        <f>448+118</f>
        <v>566</v>
      </c>
      <c r="D41" s="22">
        <v>93</v>
      </c>
      <c r="E41" s="16">
        <v>8001</v>
      </c>
      <c r="F41" s="16">
        <f aca="true" t="shared" si="1" ref="F41:F61">SUM(B41:E41)</f>
        <v>8660</v>
      </c>
      <c r="G41" s="50"/>
    </row>
    <row r="42" spans="1:6" ht="9" customHeight="1">
      <c r="A42" s="1" t="s">
        <v>4</v>
      </c>
      <c r="B42" s="21">
        <f>8337+106552</f>
        <v>114889</v>
      </c>
      <c r="D42" s="22">
        <v>40544</v>
      </c>
      <c r="E42" s="16">
        <v>233670</v>
      </c>
      <c r="F42" s="16">
        <f t="shared" si="1"/>
        <v>389103</v>
      </c>
    </row>
    <row r="43" spans="1:6" ht="9" customHeight="1">
      <c r="A43" s="1" t="s">
        <v>5</v>
      </c>
      <c r="B43" s="15">
        <f>SUM(B44:B45)</f>
        <v>3118</v>
      </c>
      <c r="D43" s="15">
        <f>SUM(D44:D45)</f>
        <v>1643</v>
      </c>
      <c r="E43" s="15">
        <f>SUM(E44:E45)</f>
        <v>35902</v>
      </c>
      <c r="F43" s="16">
        <f t="shared" si="1"/>
        <v>40663</v>
      </c>
    </row>
    <row r="44" spans="1:6" ht="9" customHeight="1">
      <c r="A44" s="12" t="s">
        <v>6</v>
      </c>
      <c r="B44" s="15">
        <f>489+535</f>
        <v>1024</v>
      </c>
      <c r="D44" s="27">
        <v>528</v>
      </c>
      <c r="E44" s="17">
        <v>28845</v>
      </c>
      <c r="F44" s="16">
        <f t="shared" si="1"/>
        <v>30397</v>
      </c>
    </row>
    <row r="45" spans="1:6" ht="9" customHeight="1">
      <c r="A45" s="12" t="s">
        <v>7</v>
      </c>
      <c r="B45" s="26">
        <f>21+2073</f>
        <v>2094</v>
      </c>
      <c r="D45" s="27">
        <v>1115</v>
      </c>
      <c r="E45" s="17">
        <v>7057</v>
      </c>
      <c r="F45" s="16">
        <f t="shared" si="1"/>
        <v>10266</v>
      </c>
    </row>
    <row r="46" spans="1:6" ht="9" customHeight="1">
      <c r="A46" s="1" t="s">
        <v>8</v>
      </c>
      <c r="B46" s="21">
        <f>3027+193437</f>
        <v>196464</v>
      </c>
      <c r="D46" s="22">
        <v>40302</v>
      </c>
      <c r="E46" s="16">
        <v>73678</v>
      </c>
      <c r="F46" s="16">
        <f t="shared" si="1"/>
        <v>310444</v>
      </c>
    </row>
    <row r="47" spans="1:6" ht="9" customHeight="1">
      <c r="A47" s="1" t="s">
        <v>9</v>
      </c>
      <c r="B47" s="21">
        <f>484+5904</f>
        <v>6388</v>
      </c>
      <c r="D47" s="22">
        <v>3197</v>
      </c>
      <c r="E47" s="16">
        <v>14980</v>
      </c>
      <c r="F47" s="16">
        <f t="shared" si="1"/>
        <v>24565</v>
      </c>
    </row>
    <row r="48" spans="1:6" ht="9" customHeight="1">
      <c r="A48" s="1" t="s">
        <v>10</v>
      </c>
      <c r="B48" s="21">
        <f>189+749</f>
        <v>938</v>
      </c>
      <c r="D48" s="22">
        <v>813</v>
      </c>
      <c r="E48" s="16">
        <v>1384</v>
      </c>
      <c r="F48" s="16">
        <f t="shared" si="1"/>
        <v>3135</v>
      </c>
    </row>
    <row r="49" spans="1:6" ht="9" customHeight="1">
      <c r="A49" s="1" t="s">
        <v>11</v>
      </c>
      <c r="B49" s="21">
        <f>6174+38445</f>
        <v>44619</v>
      </c>
      <c r="D49" s="22">
        <v>13861</v>
      </c>
      <c r="E49" s="16">
        <v>98504</v>
      </c>
      <c r="F49" s="16">
        <f t="shared" si="1"/>
        <v>156984</v>
      </c>
    </row>
    <row r="50" spans="1:6" ht="9" customHeight="1">
      <c r="A50" s="1" t="s">
        <v>12</v>
      </c>
      <c r="B50" s="21">
        <f>2664+10755</f>
        <v>13419</v>
      </c>
      <c r="D50" s="22">
        <v>6009</v>
      </c>
      <c r="E50" s="16">
        <v>7973</v>
      </c>
      <c r="F50" s="16">
        <f t="shared" si="1"/>
        <v>27401</v>
      </c>
    </row>
    <row r="51" spans="1:6" ht="9" customHeight="1">
      <c r="A51" s="1" t="s">
        <v>13</v>
      </c>
      <c r="B51" s="21">
        <f>704+6518</f>
        <v>7222</v>
      </c>
      <c r="D51" s="22">
        <v>2106</v>
      </c>
      <c r="E51" s="16">
        <v>4238</v>
      </c>
      <c r="F51" s="16">
        <f t="shared" si="1"/>
        <v>13566</v>
      </c>
    </row>
    <row r="52" spans="1:6" ht="9" customHeight="1">
      <c r="A52" s="1" t="s">
        <v>14</v>
      </c>
      <c r="B52" s="21">
        <f>1254+10377</f>
        <v>11631</v>
      </c>
      <c r="D52" s="22">
        <v>2671</v>
      </c>
      <c r="E52" s="16">
        <v>4359</v>
      </c>
      <c r="F52" s="16">
        <f t="shared" si="1"/>
        <v>18661</v>
      </c>
    </row>
    <row r="53" spans="1:6" ht="9" customHeight="1">
      <c r="A53" s="1" t="s">
        <v>15</v>
      </c>
      <c r="B53" s="21">
        <f>2215+10947</f>
        <v>13162</v>
      </c>
      <c r="D53" s="22">
        <v>5319</v>
      </c>
      <c r="E53" s="16">
        <v>30719</v>
      </c>
      <c r="F53" s="16">
        <f t="shared" si="1"/>
        <v>49200</v>
      </c>
    </row>
    <row r="54" spans="1:6" ht="9" customHeight="1">
      <c r="A54" s="1" t="s">
        <v>16</v>
      </c>
      <c r="B54" s="21">
        <f>1058+9454</f>
        <v>10512</v>
      </c>
      <c r="D54" s="22">
        <v>2059</v>
      </c>
      <c r="E54" s="16">
        <v>6737</v>
      </c>
      <c r="F54" s="16">
        <f t="shared" si="1"/>
        <v>19308</v>
      </c>
    </row>
    <row r="55" spans="1:6" ht="9" customHeight="1">
      <c r="A55" s="1" t="s">
        <v>17</v>
      </c>
      <c r="B55" s="21">
        <f>354+4349</f>
        <v>4703</v>
      </c>
      <c r="D55" s="22">
        <v>1777</v>
      </c>
      <c r="E55" s="16">
        <v>4288</v>
      </c>
      <c r="F55" s="16">
        <f t="shared" si="1"/>
        <v>10768</v>
      </c>
    </row>
    <row r="56" spans="1:6" ht="9" customHeight="1">
      <c r="A56" s="1" t="s">
        <v>18</v>
      </c>
      <c r="B56" s="21">
        <f>2266+17054</f>
        <v>19320</v>
      </c>
      <c r="D56" s="22">
        <v>7683</v>
      </c>
      <c r="E56" s="16">
        <v>16719</v>
      </c>
      <c r="F56" s="16">
        <f t="shared" si="1"/>
        <v>43722</v>
      </c>
    </row>
    <row r="57" spans="1:6" ht="9" customHeight="1">
      <c r="A57" s="1" t="s">
        <v>19</v>
      </c>
      <c r="B57" s="21">
        <f>2523+5127</f>
        <v>7650</v>
      </c>
      <c r="D57" s="22">
        <v>2206</v>
      </c>
      <c r="E57" s="16">
        <v>22597</v>
      </c>
      <c r="F57" s="16">
        <f t="shared" si="1"/>
        <v>32453</v>
      </c>
    </row>
    <row r="58" spans="1:6" ht="9" customHeight="1">
      <c r="A58" s="1" t="s">
        <v>20</v>
      </c>
      <c r="B58" s="21">
        <f>1110+3121</f>
        <v>4231</v>
      </c>
      <c r="D58" s="22">
        <v>1291</v>
      </c>
      <c r="E58" s="16">
        <v>7206</v>
      </c>
      <c r="F58" s="16">
        <f t="shared" si="1"/>
        <v>12728</v>
      </c>
    </row>
    <row r="59" spans="1:6" ht="9" customHeight="1">
      <c r="A59" s="1" t="s">
        <v>21</v>
      </c>
      <c r="B59" s="21">
        <f>7708+6749</f>
        <v>14457</v>
      </c>
      <c r="D59" s="22">
        <v>4009</v>
      </c>
      <c r="E59" s="16">
        <v>5999</v>
      </c>
      <c r="F59" s="16">
        <f t="shared" si="1"/>
        <v>24465</v>
      </c>
    </row>
    <row r="60" spans="1:6" ht="9" customHeight="1">
      <c r="A60" s="1" t="s">
        <v>22</v>
      </c>
      <c r="B60" s="21">
        <f>4219+17375</f>
        <v>21594</v>
      </c>
      <c r="D60" s="22">
        <v>7286</v>
      </c>
      <c r="E60" s="16">
        <v>28554</v>
      </c>
      <c r="F60" s="16">
        <f t="shared" si="1"/>
        <v>57434</v>
      </c>
    </row>
    <row r="61" spans="1:6" ht="9" customHeight="1">
      <c r="A61" s="1" t="s">
        <v>23</v>
      </c>
      <c r="B61" s="21">
        <f>4920+9025</f>
        <v>13945</v>
      </c>
      <c r="D61" s="22">
        <v>3745</v>
      </c>
      <c r="E61" s="16">
        <v>23556</v>
      </c>
      <c r="F61" s="16">
        <f t="shared" si="1"/>
        <v>41246</v>
      </c>
    </row>
    <row r="62" spans="1:7" ht="9" customHeight="1">
      <c r="A62" s="3" t="s">
        <v>24</v>
      </c>
      <c r="B62" s="23">
        <f>SUM(B40:B61)-B43</f>
        <v>620550</v>
      </c>
      <c r="D62" s="24">
        <f>SUM(D40:D61)-D43</f>
        <v>181550</v>
      </c>
      <c r="E62" s="19">
        <f>SUM(E40:E61)-E43</f>
        <v>709940</v>
      </c>
      <c r="F62" s="19">
        <f>B62+D62+E62</f>
        <v>1512040</v>
      </c>
      <c r="G62" s="19"/>
    </row>
    <row r="63" spans="1:6" ht="9" customHeight="1">
      <c r="A63" s="3" t="s">
        <v>41</v>
      </c>
      <c r="B63" s="23">
        <f>SUM(B40:B49)-B43</f>
        <v>478704</v>
      </c>
      <c r="D63" s="23">
        <f>SUM(D40:D49)-D43</f>
        <v>135389</v>
      </c>
      <c r="E63" s="23">
        <f>SUM(E40:E49)-E43</f>
        <v>546995</v>
      </c>
      <c r="F63" s="23">
        <f>SUM(F40:F49)-F43</f>
        <v>1161088</v>
      </c>
    </row>
    <row r="64" spans="1:6" ht="9" customHeight="1">
      <c r="A64" s="3" t="s">
        <v>42</v>
      </c>
      <c r="B64" s="23">
        <f>SUM(B50:B53)</f>
        <v>45434</v>
      </c>
      <c r="D64" s="23">
        <f>SUM(D50:D53)</f>
        <v>16105</v>
      </c>
      <c r="E64" s="23">
        <f>SUM(E50:E53)</f>
        <v>47289</v>
      </c>
      <c r="F64" s="23">
        <f>SUM(F50:F53)</f>
        <v>108828</v>
      </c>
    </row>
    <row r="65" spans="1:6" ht="9" customHeight="1">
      <c r="A65" s="5" t="s">
        <v>25</v>
      </c>
      <c r="B65" s="23">
        <f>SUM(B54:B61)</f>
        <v>96412</v>
      </c>
      <c r="D65" s="24">
        <f>SUM(D54:D61)</f>
        <v>30056</v>
      </c>
      <c r="E65" s="20">
        <f>SUM(E54:E61)</f>
        <v>115656</v>
      </c>
      <c r="F65" s="19">
        <f>B65+D65+E65</f>
        <v>242124</v>
      </c>
    </row>
    <row r="66" spans="1:6" ht="9" customHeight="1">
      <c r="A66" s="6"/>
      <c r="B66" s="6"/>
      <c r="C66" s="6"/>
      <c r="D66" s="6"/>
      <c r="E66" s="6"/>
      <c r="F66" s="6"/>
    </row>
    <row r="67" ht="9" customHeight="1">
      <c r="B67" s="50"/>
    </row>
    <row r="68" ht="9" customHeight="1"/>
    <row r="69" ht="9" customHeight="1"/>
    <row r="70" ht="9" customHeight="1"/>
    <row r="71" ht="9" customHeight="1"/>
  </sheetData>
  <mergeCells count="10">
    <mergeCell ref="F5:F7"/>
    <mergeCell ref="B36:E36"/>
    <mergeCell ref="F36:F38"/>
    <mergeCell ref="B37:B38"/>
    <mergeCell ref="D37:E37"/>
    <mergeCell ref="A5:A7"/>
    <mergeCell ref="A36:A38"/>
    <mergeCell ref="B5:E5"/>
    <mergeCell ref="D6:E6"/>
    <mergeCell ref="B6:B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9"/>
  <sheetViews>
    <sheetView workbookViewId="0" topLeftCell="A16">
      <selection activeCell="M23" sqref="M23"/>
    </sheetView>
  </sheetViews>
  <sheetFormatPr defaultColWidth="9.140625" defaultRowHeight="12.75"/>
  <cols>
    <col min="1" max="1" width="13.28125" style="0" customWidth="1"/>
    <col min="2" max="2" width="10.7109375" style="0" customWidth="1"/>
    <col min="3" max="3" width="1.8515625" style="0" customWidth="1"/>
    <col min="4" max="4" width="7.140625" style="0" customWidth="1"/>
    <col min="5" max="5" width="7.8515625" style="0" customWidth="1"/>
    <col min="6" max="6" width="2.8515625" style="0" customWidth="1"/>
    <col min="7" max="7" width="8.140625" style="0" customWidth="1"/>
    <col min="8" max="8" width="3.140625" style="0" customWidth="1"/>
    <col min="9" max="9" width="8.7109375" style="0" customWidth="1"/>
    <col min="10" max="10" width="8.00390625" style="0" customWidth="1"/>
    <col min="11" max="11" width="6.8515625" style="0" customWidth="1"/>
    <col min="12" max="12" width="7.28125" style="0" customWidth="1"/>
    <col min="13" max="13" width="6.8515625" style="0" customWidth="1"/>
  </cols>
  <sheetData>
    <row r="1" ht="9" customHeight="1"/>
    <row r="2" spans="1:13" ht="12" customHeight="1">
      <c r="A2" s="8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36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38"/>
      <c r="L4" s="38"/>
      <c r="M4" s="38"/>
    </row>
    <row r="5" spans="1:13" ht="14.25" customHeight="1">
      <c r="A5" s="52" t="s">
        <v>52</v>
      </c>
      <c r="B5" s="56" t="s">
        <v>50</v>
      </c>
      <c r="C5" s="56"/>
      <c r="D5" s="56"/>
      <c r="E5" s="56"/>
      <c r="F5" s="56"/>
      <c r="G5" s="56"/>
      <c r="H5" s="56"/>
      <c r="I5" s="56"/>
      <c r="J5" s="56"/>
      <c r="K5" s="39"/>
      <c r="L5" s="39"/>
      <c r="M5" s="39"/>
    </row>
    <row r="6" spans="1:13" ht="12" customHeight="1">
      <c r="A6" s="60"/>
      <c r="B6" s="57" t="s">
        <v>37</v>
      </c>
      <c r="C6" s="34"/>
      <c r="D6" s="56" t="s">
        <v>47</v>
      </c>
      <c r="E6" s="56"/>
      <c r="F6" s="56"/>
      <c r="G6" s="56"/>
      <c r="H6" s="56"/>
      <c r="I6" s="56"/>
      <c r="J6" s="57" t="s">
        <v>0</v>
      </c>
      <c r="K6" s="7"/>
      <c r="L6" s="7"/>
      <c r="M6" s="7"/>
    </row>
    <row r="7" spans="1:13" ht="12" customHeight="1">
      <c r="A7" s="60"/>
      <c r="B7" s="66"/>
      <c r="C7" s="40"/>
      <c r="D7" s="56" t="s">
        <v>32</v>
      </c>
      <c r="E7" s="56"/>
      <c r="F7" s="39"/>
      <c r="G7" s="56" t="s">
        <v>33</v>
      </c>
      <c r="H7" s="56"/>
      <c r="I7" s="56"/>
      <c r="J7" s="66"/>
      <c r="K7" s="7"/>
      <c r="L7" s="7"/>
      <c r="M7" s="7"/>
    </row>
    <row r="8" spans="1:10" ht="15.75" customHeight="1">
      <c r="A8" s="61"/>
      <c r="B8" s="67"/>
      <c r="C8" s="33"/>
      <c r="D8" s="41" t="s">
        <v>1</v>
      </c>
      <c r="E8" s="42" t="s">
        <v>34</v>
      </c>
      <c r="F8" s="2"/>
      <c r="G8" s="41" t="s">
        <v>35</v>
      </c>
      <c r="H8" s="41"/>
      <c r="I8" s="41" t="s">
        <v>36</v>
      </c>
      <c r="J8" s="67"/>
    </row>
    <row r="9" ht="9" customHeight="1"/>
    <row r="10" spans="1:11" ht="9" customHeight="1">
      <c r="A10" s="1" t="s">
        <v>2</v>
      </c>
      <c r="B10" s="15">
        <f>3326+5978</f>
        <v>9304</v>
      </c>
      <c r="C10" s="15"/>
      <c r="D10" s="21">
        <v>7663</v>
      </c>
      <c r="E10" s="21">
        <v>74949</v>
      </c>
      <c r="G10" s="21">
        <v>214514</v>
      </c>
      <c r="H10" s="21"/>
      <c r="I10" s="22">
        <v>90027</v>
      </c>
      <c r="J10" s="16">
        <f>SUM(B10:I10)</f>
        <v>396457</v>
      </c>
      <c r="K10" s="16"/>
    </row>
    <row r="11" spans="1:11" ht="9" customHeight="1">
      <c r="A11" s="1" t="s">
        <v>3</v>
      </c>
      <c r="B11" s="15">
        <f>303+33</f>
        <v>336</v>
      </c>
      <c r="C11" s="15"/>
      <c r="D11" s="21">
        <v>49</v>
      </c>
      <c r="E11" s="21">
        <v>7774</v>
      </c>
      <c r="G11" s="21">
        <v>23269</v>
      </c>
      <c r="H11" s="21"/>
      <c r="I11" s="22">
        <v>288</v>
      </c>
      <c r="J11" s="16">
        <f aca="true" t="shared" si="0" ref="J11:J31">SUM(B11:I11)</f>
        <v>31716</v>
      </c>
      <c r="K11" s="16"/>
    </row>
    <row r="12" spans="1:11" ht="9" customHeight="1">
      <c r="A12" s="1" t="s">
        <v>4</v>
      </c>
      <c r="B12" s="15">
        <f>5898+9614</f>
        <v>15512</v>
      </c>
      <c r="C12" s="15"/>
      <c r="D12" s="21">
        <v>6810</v>
      </c>
      <c r="E12" s="21">
        <v>165782</v>
      </c>
      <c r="G12" s="21">
        <v>634359</v>
      </c>
      <c r="H12" s="21"/>
      <c r="I12" s="22">
        <v>16201</v>
      </c>
      <c r="J12" s="16">
        <f t="shared" si="0"/>
        <v>838664</v>
      </c>
      <c r="K12" s="16"/>
    </row>
    <row r="13" spans="1:11" ht="9" customHeight="1">
      <c r="A13" s="1" t="s">
        <v>5</v>
      </c>
      <c r="B13" s="15">
        <f>SUM(B14:B15)</f>
        <v>1051</v>
      </c>
      <c r="C13" s="15"/>
      <c r="D13" s="15">
        <f>SUM(D14:D15)</f>
        <v>1106</v>
      </c>
      <c r="E13" s="15">
        <f>SUM(E14:E15)</f>
        <v>22359</v>
      </c>
      <c r="F13" s="22"/>
      <c r="G13" s="15">
        <f>SUM(G14:G15)</f>
        <v>111028</v>
      </c>
      <c r="H13" s="15"/>
      <c r="I13" s="15">
        <f>SUM(I14:I15)</f>
        <v>1890</v>
      </c>
      <c r="J13" s="16">
        <f t="shared" si="0"/>
        <v>137434</v>
      </c>
      <c r="K13" s="16"/>
    </row>
    <row r="14" spans="1:11" ht="9" customHeight="1">
      <c r="A14" s="12" t="s">
        <v>6</v>
      </c>
      <c r="B14" s="25">
        <f>802+132</f>
        <v>934</v>
      </c>
      <c r="C14" s="25"/>
      <c r="D14" s="26">
        <v>954</v>
      </c>
      <c r="E14" s="26">
        <v>18271</v>
      </c>
      <c r="F14" s="22"/>
      <c r="G14" s="26">
        <v>85723</v>
      </c>
      <c r="H14" s="26"/>
      <c r="I14" s="27">
        <v>1589</v>
      </c>
      <c r="J14" s="16">
        <f t="shared" si="0"/>
        <v>107471</v>
      </c>
      <c r="K14" s="17"/>
    </row>
    <row r="15" spans="1:11" ht="9" customHeight="1">
      <c r="A15" s="12" t="s">
        <v>7</v>
      </c>
      <c r="B15" s="25">
        <f>29+88</f>
        <v>117</v>
      </c>
      <c r="C15" s="25"/>
      <c r="D15" s="26">
        <v>152</v>
      </c>
      <c r="E15" s="26">
        <v>4088</v>
      </c>
      <c r="F15" s="22"/>
      <c r="G15" s="26">
        <v>25305</v>
      </c>
      <c r="H15" s="26"/>
      <c r="I15" s="27">
        <v>301</v>
      </c>
      <c r="J15" s="16">
        <f t="shared" si="0"/>
        <v>29963</v>
      </c>
      <c r="K15" s="17"/>
    </row>
    <row r="16" spans="1:11" ht="9" customHeight="1">
      <c r="A16" s="1" t="s">
        <v>8</v>
      </c>
      <c r="B16" s="15">
        <f>1032+2856</f>
        <v>3888</v>
      </c>
      <c r="C16" s="15"/>
      <c r="D16" s="21">
        <v>4574</v>
      </c>
      <c r="E16" s="21">
        <v>41196</v>
      </c>
      <c r="F16" s="15"/>
      <c r="G16" s="21">
        <v>233296</v>
      </c>
      <c r="H16" s="21"/>
      <c r="I16" s="22">
        <v>7147</v>
      </c>
      <c r="J16" s="16">
        <f t="shared" si="0"/>
        <v>290101</v>
      </c>
      <c r="K16" s="16"/>
    </row>
    <row r="17" spans="1:11" ht="9" customHeight="1">
      <c r="A17" s="1" t="s">
        <v>9</v>
      </c>
      <c r="B17" s="15">
        <f>308+289</f>
        <v>597</v>
      </c>
      <c r="C17" s="15"/>
      <c r="D17" s="21">
        <v>476</v>
      </c>
      <c r="E17" s="21">
        <v>7018</v>
      </c>
      <c r="F17" s="27"/>
      <c r="G17" s="21">
        <v>46933</v>
      </c>
      <c r="H17" s="21"/>
      <c r="I17" s="22">
        <v>1593</v>
      </c>
      <c r="J17" s="16">
        <f t="shared" si="0"/>
        <v>56617</v>
      </c>
      <c r="K17" s="16"/>
    </row>
    <row r="18" spans="1:11" ht="9" customHeight="1">
      <c r="A18" s="1" t="s">
        <v>10</v>
      </c>
      <c r="B18" s="15">
        <f>201+102</f>
        <v>303</v>
      </c>
      <c r="C18" s="15"/>
      <c r="D18" s="21">
        <v>182</v>
      </c>
      <c r="E18" s="21">
        <v>2197</v>
      </c>
      <c r="F18" s="27"/>
      <c r="G18" s="21">
        <v>4010</v>
      </c>
      <c r="H18" s="21"/>
      <c r="I18" s="22">
        <v>4726</v>
      </c>
      <c r="J18" s="16">
        <f t="shared" si="0"/>
        <v>11418</v>
      </c>
      <c r="K18" s="16"/>
    </row>
    <row r="19" spans="1:11" ht="9" customHeight="1">
      <c r="A19" s="1" t="s">
        <v>11</v>
      </c>
      <c r="B19" s="15">
        <f>3344+1565</f>
        <v>4909</v>
      </c>
      <c r="C19" s="15"/>
      <c r="D19" s="21">
        <v>4529</v>
      </c>
      <c r="E19" s="21">
        <v>65244</v>
      </c>
      <c r="F19" s="22"/>
      <c r="G19" s="21">
        <v>309607</v>
      </c>
      <c r="H19" s="21"/>
      <c r="I19" s="22">
        <v>15674</v>
      </c>
      <c r="J19" s="16">
        <f t="shared" si="0"/>
        <v>399963</v>
      </c>
      <c r="K19" s="16"/>
    </row>
    <row r="20" spans="1:11" ht="9" customHeight="1">
      <c r="A20" s="1" t="s">
        <v>12</v>
      </c>
      <c r="B20" s="15">
        <f>2189+572</f>
        <v>2761</v>
      </c>
      <c r="C20" s="15"/>
      <c r="D20" s="21">
        <v>1824</v>
      </c>
      <c r="E20" s="21">
        <v>24402</v>
      </c>
      <c r="F20" s="22"/>
      <c r="G20" s="21">
        <v>21212</v>
      </c>
      <c r="H20" s="21"/>
      <c r="I20" s="22">
        <v>14612</v>
      </c>
      <c r="J20" s="16">
        <f t="shared" si="0"/>
        <v>64811</v>
      </c>
      <c r="K20" s="16"/>
    </row>
    <row r="21" spans="1:11" ht="9" customHeight="1">
      <c r="A21" s="1" t="s">
        <v>13</v>
      </c>
      <c r="B21" s="15">
        <f>607+886</f>
        <v>1493</v>
      </c>
      <c r="C21" s="15"/>
      <c r="D21" s="21">
        <v>950</v>
      </c>
      <c r="E21" s="21">
        <v>8459</v>
      </c>
      <c r="F21" s="22"/>
      <c r="G21" s="21">
        <v>10970</v>
      </c>
      <c r="H21" s="21"/>
      <c r="I21" s="22">
        <v>10390</v>
      </c>
      <c r="J21" s="16">
        <f t="shared" si="0"/>
        <v>32262</v>
      </c>
      <c r="K21" s="16"/>
    </row>
    <row r="22" spans="1:11" ht="9" customHeight="1">
      <c r="A22" s="1" t="s">
        <v>14</v>
      </c>
      <c r="B22" s="15">
        <f>1000+696</f>
        <v>1696</v>
      </c>
      <c r="C22" s="15"/>
      <c r="D22" s="21">
        <v>782</v>
      </c>
      <c r="E22" s="21">
        <v>8813</v>
      </c>
      <c r="F22" s="22"/>
      <c r="G22" s="21">
        <v>12154</v>
      </c>
      <c r="H22" s="21"/>
      <c r="I22" s="22">
        <v>14533</v>
      </c>
      <c r="J22" s="16">
        <f t="shared" si="0"/>
        <v>37978</v>
      </c>
      <c r="K22" s="16"/>
    </row>
    <row r="23" spans="1:11" ht="9" customHeight="1">
      <c r="A23" s="1" t="s">
        <v>15</v>
      </c>
      <c r="B23" s="15">
        <f>2259+2200</f>
        <v>4459</v>
      </c>
      <c r="C23" s="15"/>
      <c r="D23" s="21">
        <v>2249</v>
      </c>
      <c r="E23" s="21">
        <v>29045</v>
      </c>
      <c r="F23" s="22"/>
      <c r="G23" s="21">
        <v>92973</v>
      </c>
      <c r="H23" s="21"/>
      <c r="I23" s="22">
        <v>29724</v>
      </c>
      <c r="J23" s="16">
        <f t="shared" si="0"/>
        <v>158450</v>
      </c>
      <c r="K23" s="16"/>
    </row>
    <row r="24" spans="1:11" ht="9" customHeight="1">
      <c r="A24" s="1" t="s">
        <v>16</v>
      </c>
      <c r="B24" s="15">
        <f>389+555</f>
        <v>944</v>
      </c>
      <c r="C24" s="15"/>
      <c r="D24" s="21">
        <v>943</v>
      </c>
      <c r="E24" s="21">
        <v>10101</v>
      </c>
      <c r="F24" s="22"/>
      <c r="G24" s="21">
        <v>24557</v>
      </c>
      <c r="H24" s="21"/>
      <c r="I24" s="22">
        <v>11815</v>
      </c>
      <c r="J24" s="16">
        <f t="shared" si="0"/>
        <v>48360</v>
      </c>
      <c r="K24" s="16"/>
    </row>
    <row r="25" spans="1:11" ht="9" customHeight="1">
      <c r="A25" s="1" t="s">
        <v>17</v>
      </c>
      <c r="B25" s="15">
        <f>127+194</f>
        <v>321</v>
      </c>
      <c r="C25" s="15"/>
      <c r="D25" s="21">
        <v>873</v>
      </c>
      <c r="E25" s="21">
        <v>3178</v>
      </c>
      <c r="F25" s="22"/>
      <c r="G25" s="21">
        <v>23934</v>
      </c>
      <c r="H25" s="21"/>
      <c r="I25" s="22">
        <v>4368</v>
      </c>
      <c r="J25" s="16">
        <f t="shared" si="0"/>
        <v>32674</v>
      </c>
      <c r="K25" s="16"/>
    </row>
    <row r="26" spans="1:11" ht="9" customHeight="1">
      <c r="A26" s="1" t="s">
        <v>18</v>
      </c>
      <c r="B26" s="15">
        <f>1222+4451</f>
        <v>5673</v>
      </c>
      <c r="C26" s="15"/>
      <c r="D26" s="21">
        <v>2717</v>
      </c>
      <c r="E26" s="21">
        <v>17142</v>
      </c>
      <c r="F26" s="22"/>
      <c r="G26" s="21">
        <v>89088</v>
      </c>
      <c r="H26" s="21"/>
      <c r="I26" s="22">
        <v>23073</v>
      </c>
      <c r="J26" s="16">
        <f t="shared" si="0"/>
        <v>137693</v>
      </c>
      <c r="K26" s="16"/>
    </row>
    <row r="27" spans="1:11" ht="9" customHeight="1">
      <c r="A27" s="1" t="s">
        <v>19</v>
      </c>
      <c r="B27" s="15">
        <f>1793+623</f>
        <v>2416</v>
      </c>
      <c r="C27" s="15"/>
      <c r="D27" s="21">
        <v>1106</v>
      </c>
      <c r="E27" s="21">
        <v>13722</v>
      </c>
      <c r="F27" s="22"/>
      <c r="G27" s="21">
        <v>78015</v>
      </c>
      <c r="H27" s="21"/>
      <c r="I27" s="22">
        <v>8851</v>
      </c>
      <c r="J27" s="16">
        <f t="shared" si="0"/>
        <v>104110</v>
      </c>
      <c r="K27" s="16"/>
    </row>
    <row r="28" spans="1:11" ht="9" customHeight="1">
      <c r="A28" s="1" t="s">
        <v>20</v>
      </c>
      <c r="B28" s="15">
        <f>1133+475</f>
        <v>1608</v>
      </c>
      <c r="C28" s="15"/>
      <c r="D28" s="21">
        <v>861</v>
      </c>
      <c r="E28" s="21">
        <v>8861</v>
      </c>
      <c r="F28" s="22"/>
      <c r="G28" s="21">
        <v>25804</v>
      </c>
      <c r="H28" s="21"/>
      <c r="I28" s="22">
        <v>12577</v>
      </c>
      <c r="J28" s="16">
        <f t="shared" si="0"/>
        <v>49711</v>
      </c>
      <c r="K28" s="16"/>
    </row>
    <row r="29" spans="1:11" ht="9" customHeight="1">
      <c r="A29" s="1" t="s">
        <v>21</v>
      </c>
      <c r="B29" s="15">
        <f>2324+961</f>
        <v>3285</v>
      </c>
      <c r="C29" s="15"/>
      <c r="D29" s="21">
        <v>1394</v>
      </c>
      <c r="E29" s="21">
        <v>11903</v>
      </c>
      <c r="F29" s="22"/>
      <c r="G29" s="21">
        <v>24682</v>
      </c>
      <c r="H29" s="21"/>
      <c r="I29" s="22">
        <v>27175</v>
      </c>
      <c r="J29" s="16">
        <f t="shared" si="0"/>
        <v>68439</v>
      </c>
      <c r="K29" s="16"/>
    </row>
    <row r="30" spans="1:11" ht="9" customHeight="1">
      <c r="A30" s="1" t="s">
        <v>22</v>
      </c>
      <c r="B30" s="15">
        <f>5485+1791</f>
        <v>7276</v>
      </c>
      <c r="C30" s="15"/>
      <c r="D30" s="21">
        <v>3660</v>
      </c>
      <c r="E30" s="21">
        <v>35643</v>
      </c>
      <c r="F30" s="22"/>
      <c r="G30" s="21">
        <v>63409</v>
      </c>
      <c r="H30" s="21"/>
      <c r="I30" s="22">
        <v>78163</v>
      </c>
      <c r="J30" s="16">
        <f t="shared" si="0"/>
        <v>188151</v>
      </c>
      <c r="K30" s="16"/>
    </row>
    <row r="31" spans="1:11" ht="9" customHeight="1">
      <c r="A31" s="1" t="s">
        <v>23</v>
      </c>
      <c r="B31" s="15">
        <f>6649+884</f>
        <v>7533</v>
      </c>
      <c r="C31" s="15"/>
      <c r="D31" s="21">
        <v>3505</v>
      </c>
      <c r="E31" s="21">
        <v>32938</v>
      </c>
      <c r="F31" s="22"/>
      <c r="G31" s="21">
        <v>33824</v>
      </c>
      <c r="H31" s="21"/>
      <c r="I31" s="22">
        <v>69693</v>
      </c>
      <c r="J31" s="16">
        <f t="shared" si="0"/>
        <v>147493</v>
      </c>
      <c r="K31" s="16"/>
    </row>
    <row r="32" spans="1:12" ht="9" customHeight="1">
      <c r="A32" s="3" t="s">
        <v>24</v>
      </c>
      <c r="B32" s="18">
        <f>SUM(B10:B31)-B13</f>
        <v>75365</v>
      </c>
      <c r="C32" s="18"/>
      <c r="D32" s="23">
        <f>SUM(D10:D12)+SUM(D14:D31)</f>
        <v>46253</v>
      </c>
      <c r="E32" s="23">
        <f>SUM(E10:E31)-E13</f>
        <v>590726</v>
      </c>
      <c r="F32" s="22"/>
      <c r="G32" s="23">
        <f>SUM(G10:G31)-G13</f>
        <v>2077638</v>
      </c>
      <c r="H32" s="23"/>
      <c r="I32" s="24">
        <f>SUM(I10:I31)-I13</f>
        <v>442520</v>
      </c>
      <c r="J32" s="19">
        <f>B32+D32+E32+F32+G32+I32</f>
        <v>3232502</v>
      </c>
      <c r="K32" s="28"/>
      <c r="L32" s="51"/>
    </row>
    <row r="33" spans="1:11" ht="9" customHeight="1">
      <c r="A33" s="3" t="s">
        <v>41</v>
      </c>
      <c r="B33" s="18">
        <f>SUM(B10:B19)-B13</f>
        <v>35900</v>
      </c>
      <c r="C33" s="18"/>
      <c r="D33" s="18">
        <f>SUM(D10:D19)-D13</f>
        <v>25389</v>
      </c>
      <c r="E33" s="18">
        <f>SUM(E10:E19)-E13</f>
        <v>386519</v>
      </c>
      <c r="F33" s="22"/>
      <c r="G33" s="18">
        <f>SUM(G10:G19)-G13</f>
        <v>1577016</v>
      </c>
      <c r="H33" s="23"/>
      <c r="I33" s="18">
        <f>SUM(I10:I19)-I13</f>
        <v>137546</v>
      </c>
      <c r="J33" s="19">
        <f>B33+D33+E33+F33+G33+I33</f>
        <v>2162370</v>
      </c>
      <c r="K33" s="28"/>
    </row>
    <row r="34" spans="1:11" ht="9" customHeight="1">
      <c r="A34" s="3" t="s">
        <v>42</v>
      </c>
      <c r="B34" s="18">
        <f>SUM(B20:B23)</f>
        <v>10409</v>
      </c>
      <c r="C34" s="18"/>
      <c r="D34" s="18">
        <f>SUM(D20:D23)</f>
        <v>5805</v>
      </c>
      <c r="E34" s="18">
        <f>SUM(E20:E23)</f>
        <v>70719</v>
      </c>
      <c r="F34" s="22"/>
      <c r="G34" s="18">
        <f>SUM(G20:G23)</f>
        <v>137309</v>
      </c>
      <c r="H34" s="23"/>
      <c r="I34" s="18">
        <f>SUM(I20:I23)</f>
        <v>69259</v>
      </c>
      <c r="J34" s="19">
        <f>B34+D34+E34+F34+G34+I34</f>
        <v>293501</v>
      </c>
      <c r="K34" s="28"/>
    </row>
    <row r="35" spans="1:11" ht="9" customHeight="1">
      <c r="A35" s="5" t="s">
        <v>25</v>
      </c>
      <c r="B35" s="18">
        <f>SUM(B24:B31)</f>
        <v>29056</v>
      </c>
      <c r="C35" s="18"/>
      <c r="D35" s="23">
        <f>SUM(D24:D31)</f>
        <v>15059</v>
      </c>
      <c r="E35" s="23">
        <f>SUM(E24:E31)</f>
        <v>133488</v>
      </c>
      <c r="F35" s="22"/>
      <c r="G35" s="23">
        <f>SUM(G24:G31)</f>
        <v>363313</v>
      </c>
      <c r="H35" s="23"/>
      <c r="I35" s="23">
        <f>SUM(I24:I31)</f>
        <v>235715</v>
      </c>
      <c r="J35" s="19">
        <f>B35+D35+E35+F35+G35+I35</f>
        <v>776631</v>
      </c>
      <c r="K35" s="43"/>
    </row>
    <row r="36" spans="1:11" ht="9" customHeight="1">
      <c r="A36" s="6"/>
      <c r="B36" s="6"/>
      <c r="C36" s="6"/>
      <c r="D36" s="30"/>
      <c r="E36" s="30"/>
      <c r="F36" s="30"/>
      <c r="G36" s="31"/>
      <c r="H36" s="31"/>
      <c r="I36" s="31"/>
      <c r="J36" s="6"/>
      <c r="K36" s="7"/>
    </row>
    <row r="37" spans="1:11" ht="12" customHeight="1">
      <c r="A37" s="52" t="s">
        <v>52</v>
      </c>
      <c r="B37" s="64" t="s">
        <v>40</v>
      </c>
      <c r="C37" s="47"/>
      <c r="D37" s="63" t="s">
        <v>55</v>
      </c>
      <c r="E37" s="63"/>
      <c r="F37" s="48"/>
      <c r="G37" s="64" t="s">
        <v>44</v>
      </c>
      <c r="H37" s="46"/>
      <c r="I37" s="63" t="s">
        <v>0</v>
      </c>
      <c r="J37" s="63"/>
      <c r="K37" s="7"/>
    </row>
    <row r="38" spans="1:10" ht="18" customHeight="1">
      <c r="A38" s="61"/>
      <c r="B38" s="65"/>
      <c r="C38" s="6"/>
      <c r="D38" s="44" t="s">
        <v>38</v>
      </c>
      <c r="E38" s="45" t="s">
        <v>39</v>
      </c>
      <c r="F38" s="30"/>
      <c r="G38" s="65"/>
      <c r="H38" s="49"/>
      <c r="I38" s="68" t="s">
        <v>45</v>
      </c>
      <c r="J38" s="69"/>
    </row>
    <row r="39" spans="2:9" ht="9" customHeight="1">
      <c r="B39" s="19"/>
      <c r="D39" s="23"/>
      <c r="E39" s="24"/>
      <c r="F39" s="24"/>
      <c r="G39" s="19"/>
      <c r="H39" s="19"/>
      <c r="I39" s="19"/>
    </row>
    <row r="40" spans="1:10" ht="9" customHeight="1">
      <c r="A40" s="1" t="s">
        <v>2</v>
      </c>
      <c r="B40" s="16">
        <f>'Foglio1 (3)'!F9+'Foglio1 (3)'!F40+'Foglio1 (2)'!J10</f>
        <v>857697</v>
      </c>
      <c r="D40" s="22">
        <v>62</v>
      </c>
      <c r="E40" s="22">
        <v>2796</v>
      </c>
      <c r="F40" s="24"/>
      <c r="G40" s="16">
        <f>D40+E40</f>
        <v>2858</v>
      </c>
      <c r="H40" s="20"/>
      <c r="I40" s="62">
        <f aca="true" t="shared" si="1" ref="I40:I45">B40+G40</f>
        <v>860555</v>
      </c>
      <c r="J40" s="62"/>
    </row>
    <row r="41" spans="1:10" ht="9" customHeight="1">
      <c r="A41" s="1" t="s">
        <v>3</v>
      </c>
      <c r="B41" s="16">
        <f>'Foglio1 (3)'!F10+'Foglio1 (3)'!F41+'Foglio1 (2)'!J11</f>
        <v>49492</v>
      </c>
      <c r="D41" s="22">
        <v>0</v>
      </c>
      <c r="E41" s="22">
        <v>0</v>
      </c>
      <c r="G41" s="22">
        <v>0</v>
      </c>
      <c r="I41" s="62">
        <f t="shared" si="1"/>
        <v>49492</v>
      </c>
      <c r="J41" s="62"/>
    </row>
    <row r="42" spans="1:16" ht="9" customHeight="1">
      <c r="A42" s="1" t="s">
        <v>4</v>
      </c>
      <c r="B42" s="16">
        <f>'Foglio1 (3)'!F11+'Foglio1 (3)'!F42+'Foglio1 (2)'!J12</f>
        <v>1864013</v>
      </c>
      <c r="D42" s="22">
        <v>469</v>
      </c>
      <c r="E42" s="22">
        <v>2926</v>
      </c>
      <c r="G42" s="16">
        <f>D42+E42</f>
        <v>3395</v>
      </c>
      <c r="H42" s="15"/>
      <c r="I42" s="62">
        <f t="shared" si="1"/>
        <v>1867408</v>
      </c>
      <c r="J42" s="62"/>
      <c r="K42" s="21"/>
      <c r="L42" s="22"/>
      <c r="M42" s="16"/>
      <c r="N42" s="16"/>
      <c r="O42" s="22"/>
      <c r="P42" s="22"/>
    </row>
    <row r="43" spans="1:16" ht="9" customHeight="1">
      <c r="A43" s="1" t="s">
        <v>5</v>
      </c>
      <c r="B43" s="16">
        <f>'Foglio1 (3)'!F12+'Foglio1 (3)'!F43+'Foglio1 (2)'!J13</f>
        <v>222283</v>
      </c>
      <c r="D43" s="15">
        <f>SUM(D44:D45)</f>
        <v>98</v>
      </c>
      <c r="E43" s="15">
        <f>SUM(E44:E45)</f>
        <v>517</v>
      </c>
      <c r="G43" s="16">
        <f>D43+E43</f>
        <v>615</v>
      </c>
      <c r="H43" s="15"/>
      <c r="I43" s="62">
        <f t="shared" si="1"/>
        <v>222898</v>
      </c>
      <c r="J43" s="62"/>
      <c r="K43" s="21"/>
      <c r="L43" s="22"/>
      <c r="M43" s="16"/>
      <c r="N43" s="16"/>
      <c r="O43" s="22"/>
      <c r="P43" s="22"/>
    </row>
    <row r="44" spans="1:16" ht="9" customHeight="1">
      <c r="A44" s="12" t="s">
        <v>6</v>
      </c>
      <c r="B44" s="16">
        <f>'Foglio1 (3)'!F13+'Foglio1 (3)'!F44+'Foglio1 (2)'!J14</f>
        <v>173456</v>
      </c>
      <c r="D44" s="27">
        <v>0</v>
      </c>
      <c r="E44" s="27">
        <v>24</v>
      </c>
      <c r="G44" s="27">
        <v>24</v>
      </c>
      <c r="H44" s="15"/>
      <c r="I44" s="62">
        <f t="shared" si="1"/>
        <v>173480</v>
      </c>
      <c r="J44" s="62"/>
      <c r="K44" s="21"/>
      <c r="L44" s="22"/>
      <c r="M44" s="16"/>
      <c r="N44" s="16"/>
      <c r="O44" s="22"/>
      <c r="P44" s="22"/>
    </row>
    <row r="45" spans="1:16" ht="9" customHeight="1">
      <c r="A45" s="12" t="s">
        <v>7</v>
      </c>
      <c r="B45" s="16">
        <f>'Foglio1 (3)'!F14+'Foglio1 (3)'!F45+'Foglio1 (2)'!J15</f>
        <v>48827</v>
      </c>
      <c r="D45" s="27">
        <v>98</v>
      </c>
      <c r="E45" s="27">
        <v>493</v>
      </c>
      <c r="G45" s="16">
        <f>D45+E45</f>
        <v>591</v>
      </c>
      <c r="H45" s="15"/>
      <c r="I45" s="62">
        <f t="shared" si="1"/>
        <v>49418</v>
      </c>
      <c r="J45" s="62"/>
      <c r="K45" s="15"/>
      <c r="L45" s="15"/>
      <c r="M45" s="16"/>
      <c r="N45" s="16"/>
      <c r="O45" s="15"/>
      <c r="P45" s="15"/>
    </row>
    <row r="46" spans="1:16" ht="9" customHeight="1">
      <c r="A46" s="1" t="s">
        <v>8</v>
      </c>
      <c r="B46" s="16">
        <f>'Foglio1 (3)'!F15+'Foglio1 (3)'!F46+'Foglio1 (2)'!J16</f>
        <v>970120</v>
      </c>
      <c r="D46" s="22">
        <v>272</v>
      </c>
      <c r="E46" s="22">
        <v>1546</v>
      </c>
      <c r="G46" s="16">
        <f>D46+E46</f>
        <v>1818</v>
      </c>
      <c r="H46" s="25"/>
      <c r="I46" s="62">
        <f aca="true" t="shared" si="2" ref="I46:I54">B46+G46</f>
        <v>971938</v>
      </c>
      <c r="J46" s="62"/>
      <c r="K46" s="26"/>
      <c r="L46" s="27"/>
      <c r="M46" s="17"/>
      <c r="N46" s="17"/>
      <c r="O46" s="27"/>
      <c r="P46" s="27"/>
    </row>
    <row r="47" spans="1:16" ht="9" customHeight="1">
      <c r="A47" s="1" t="s">
        <v>9</v>
      </c>
      <c r="B47" s="16">
        <f>'Foglio1 (3)'!F16+'Foglio1 (3)'!F47+'Foglio1 (2)'!J17</f>
        <v>110620</v>
      </c>
      <c r="D47" s="22">
        <v>57</v>
      </c>
      <c r="E47" s="22">
        <v>179</v>
      </c>
      <c r="G47" s="16">
        <f>D47+E47</f>
        <v>236</v>
      </c>
      <c r="H47" s="25"/>
      <c r="I47" s="62">
        <f t="shared" si="2"/>
        <v>110856</v>
      </c>
      <c r="J47" s="62"/>
      <c r="K47" s="26"/>
      <c r="L47" s="27"/>
      <c r="M47" s="17"/>
      <c r="N47" s="17"/>
      <c r="O47" s="27"/>
      <c r="P47" s="27"/>
    </row>
    <row r="48" spans="1:16" ht="9" customHeight="1">
      <c r="A48" s="1" t="s">
        <v>10</v>
      </c>
      <c r="B48" s="16">
        <f>'Foglio1 (3)'!F17+'Foglio1 (3)'!F48+'Foglio1 (2)'!J18</f>
        <v>19852</v>
      </c>
      <c r="D48" s="22">
        <v>1</v>
      </c>
      <c r="E48" s="22">
        <v>13</v>
      </c>
      <c r="G48" s="16">
        <f aca="true" t="shared" si="3" ref="G48:G61">D48+E48</f>
        <v>14</v>
      </c>
      <c r="H48" s="15"/>
      <c r="I48" s="62">
        <f t="shared" si="2"/>
        <v>19866</v>
      </c>
      <c r="J48" s="62"/>
      <c r="K48" s="21"/>
      <c r="L48" s="22"/>
      <c r="M48" s="16"/>
      <c r="N48" s="16"/>
      <c r="O48" s="22"/>
      <c r="P48" s="22"/>
    </row>
    <row r="49" spans="1:16" ht="9" customHeight="1">
      <c r="A49" s="1" t="s">
        <v>11</v>
      </c>
      <c r="B49" s="16">
        <f>'Foglio1 (3)'!F18+'Foglio1 (3)'!F49+'Foglio1 (2)'!J19</f>
        <v>704564</v>
      </c>
      <c r="D49" s="22">
        <v>69</v>
      </c>
      <c r="E49" s="22">
        <v>322</v>
      </c>
      <c r="G49" s="16">
        <f t="shared" si="3"/>
        <v>391</v>
      </c>
      <c r="H49" s="15"/>
      <c r="I49" s="62">
        <f t="shared" si="2"/>
        <v>704955</v>
      </c>
      <c r="J49" s="62"/>
      <c r="K49" s="21"/>
      <c r="L49" s="22"/>
      <c r="M49" s="16"/>
      <c r="N49" s="16"/>
      <c r="O49" s="22"/>
      <c r="P49" s="22"/>
    </row>
    <row r="50" spans="1:16" ht="9" customHeight="1">
      <c r="A50" s="1" t="s">
        <v>12</v>
      </c>
      <c r="B50" s="16">
        <f>'Foglio1 (3)'!F19+'Foglio1 (3)'!F50+'Foglio1 (2)'!J20</f>
        <v>128848</v>
      </c>
      <c r="D50" s="22">
        <v>132</v>
      </c>
      <c r="E50" s="22">
        <v>2184</v>
      </c>
      <c r="G50" s="16">
        <f t="shared" si="3"/>
        <v>2316</v>
      </c>
      <c r="H50" s="15"/>
      <c r="I50" s="62">
        <f t="shared" si="2"/>
        <v>131164</v>
      </c>
      <c r="J50" s="62"/>
      <c r="K50" s="21"/>
      <c r="L50" s="22"/>
      <c r="M50" s="16"/>
      <c r="N50" s="16"/>
      <c r="O50" s="22"/>
      <c r="P50" s="22"/>
    </row>
    <row r="51" spans="1:16" ht="9" customHeight="1">
      <c r="A51" s="1" t="s">
        <v>13</v>
      </c>
      <c r="B51" s="16">
        <f>'Foglio1 (3)'!F20+'Foglio1 (3)'!F51+'Foglio1 (2)'!J21</f>
        <v>64405</v>
      </c>
      <c r="D51" s="22">
        <v>67</v>
      </c>
      <c r="E51" s="22">
        <v>332</v>
      </c>
      <c r="G51" s="16">
        <f t="shared" si="3"/>
        <v>399</v>
      </c>
      <c r="H51" s="15"/>
      <c r="I51" s="62">
        <f t="shared" si="2"/>
        <v>64804</v>
      </c>
      <c r="J51" s="62"/>
      <c r="K51" s="21"/>
      <c r="L51" s="22"/>
      <c r="M51" s="16"/>
      <c r="N51" s="16"/>
      <c r="O51" s="22"/>
      <c r="P51" s="22"/>
    </row>
    <row r="52" spans="1:16" ht="9" customHeight="1">
      <c r="A52" s="1" t="s">
        <v>14</v>
      </c>
      <c r="B52" s="16">
        <f>'Foglio1 (3)'!F21+'Foglio1 (3)'!F52+'Foglio1 (2)'!J22</f>
        <v>80195</v>
      </c>
      <c r="D52" s="22">
        <v>80</v>
      </c>
      <c r="E52" s="22">
        <v>4013</v>
      </c>
      <c r="G52" s="16">
        <f t="shared" si="3"/>
        <v>4093</v>
      </c>
      <c r="H52" s="15"/>
      <c r="I52" s="62">
        <f t="shared" si="2"/>
        <v>84288</v>
      </c>
      <c r="J52" s="62"/>
      <c r="K52" s="21"/>
      <c r="L52" s="22"/>
      <c r="M52" s="16"/>
      <c r="N52" s="16"/>
      <c r="O52" s="22"/>
      <c r="P52" s="22"/>
    </row>
    <row r="53" spans="1:16" ht="9" customHeight="1">
      <c r="A53" s="1" t="s">
        <v>15</v>
      </c>
      <c r="B53" s="16">
        <f>'Foglio1 (3)'!F22+'Foglio1 (3)'!F53+'Foglio1 (2)'!J23</f>
        <v>266860</v>
      </c>
      <c r="D53" s="22">
        <v>5723</v>
      </c>
      <c r="E53" s="22">
        <v>32531</v>
      </c>
      <c r="G53" s="16">
        <f t="shared" si="3"/>
        <v>38254</v>
      </c>
      <c r="H53" s="15"/>
      <c r="I53" s="62">
        <f t="shared" si="2"/>
        <v>305114</v>
      </c>
      <c r="J53" s="62"/>
      <c r="K53" s="21"/>
      <c r="L53" s="22"/>
      <c r="M53" s="16"/>
      <c r="N53" s="16"/>
      <c r="O53" s="22"/>
      <c r="P53" s="22"/>
    </row>
    <row r="54" spans="1:16" ht="9" customHeight="1">
      <c r="A54" s="1" t="s">
        <v>16</v>
      </c>
      <c r="B54" s="16">
        <f>'Foglio1 (3)'!F23+'Foglio1 (3)'!F54+'Foglio1 (2)'!J24</f>
        <v>92220</v>
      </c>
      <c r="D54" s="22">
        <v>7</v>
      </c>
      <c r="E54" s="22">
        <v>8</v>
      </c>
      <c r="G54" s="16">
        <f t="shared" si="3"/>
        <v>15</v>
      </c>
      <c r="H54" s="15"/>
      <c r="I54" s="62">
        <f t="shared" si="2"/>
        <v>92235</v>
      </c>
      <c r="J54" s="62"/>
      <c r="K54" s="21"/>
      <c r="L54" s="22"/>
      <c r="M54" s="16"/>
      <c r="N54" s="16"/>
      <c r="O54" s="22"/>
      <c r="P54" s="22"/>
    </row>
    <row r="55" spans="1:16" ht="9" customHeight="1">
      <c r="A55" s="1" t="s">
        <v>17</v>
      </c>
      <c r="B55" s="16">
        <f>'Foglio1 (3)'!F24+'Foglio1 (3)'!F55+'Foglio1 (2)'!J25</f>
        <v>59659</v>
      </c>
      <c r="D55" s="22">
        <v>135</v>
      </c>
      <c r="E55" s="22">
        <v>295</v>
      </c>
      <c r="G55" s="16">
        <f t="shared" si="3"/>
        <v>430</v>
      </c>
      <c r="H55" s="15"/>
      <c r="I55" s="62">
        <f aca="true" t="shared" si="4" ref="I55:I61">B55+G55</f>
        <v>60089</v>
      </c>
      <c r="J55" s="62"/>
      <c r="K55" s="21"/>
      <c r="L55" s="22"/>
      <c r="M55" s="16"/>
      <c r="N55" s="16"/>
      <c r="O55" s="22"/>
      <c r="P55" s="22"/>
    </row>
    <row r="56" spans="1:16" ht="9" customHeight="1">
      <c r="A56" s="1" t="s">
        <v>18</v>
      </c>
      <c r="B56" s="16">
        <f>'Foglio1 (3)'!F25+'Foglio1 (3)'!F56+'Foglio1 (2)'!J26</f>
        <v>238792</v>
      </c>
      <c r="D56" s="22">
        <v>24470</v>
      </c>
      <c r="E56" s="22">
        <v>107170</v>
      </c>
      <c r="G56" s="16">
        <f t="shared" si="3"/>
        <v>131640</v>
      </c>
      <c r="H56" s="15"/>
      <c r="I56" s="62">
        <f t="shared" si="4"/>
        <v>370432</v>
      </c>
      <c r="J56" s="62"/>
      <c r="K56" s="21"/>
      <c r="L56" s="22"/>
      <c r="M56" s="16"/>
      <c r="N56" s="16"/>
      <c r="O56" s="22"/>
      <c r="P56" s="22"/>
    </row>
    <row r="57" spans="1:16" ht="9" customHeight="1">
      <c r="A57" s="1" t="s">
        <v>19</v>
      </c>
      <c r="B57" s="16">
        <f>'Foglio1 (3)'!F26+'Foglio1 (3)'!F57+'Foglio1 (2)'!J27</f>
        <v>180440</v>
      </c>
      <c r="D57" s="22">
        <v>765</v>
      </c>
      <c r="E57" s="22">
        <v>4134</v>
      </c>
      <c r="G57" s="16">
        <f t="shared" si="3"/>
        <v>4899</v>
      </c>
      <c r="H57" s="15"/>
      <c r="I57" s="62">
        <f t="shared" si="4"/>
        <v>185339</v>
      </c>
      <c r="J57" s="62"/>
      <c r="K57" s="21"/>
      <c r="L57" s="22"/>
      <c r="M57" s="16"/>
      <c r="N57" s="16"/>
      <c r="O57" s="22"/>
      <c r="P57" s="22"/>
    </row>
    <row r="58" spans="1:16" ht="9" customHeight="1">
      <c r="A58" s="1" t="s">
        <v>20</v>
      </c>
      <c r="B58" s="16">
        <f>'Foglio1 (3)'!F27+'Foglio1 (3)'!F58+'Foglio1 (2)'!J28</f>
        <v>83223</v>
      </c>
      <c r="D58" s="22">
        <v>83</v>
      </c>
      <c r="E58" s="22">
        <v>668</v>
      </c>
      <c r="G58" s="16">
        <f t="shared" si="3"/>
        <v>751</v>
      </c>
      <c r="H58" s="15"/>
      <c r="I58" s="62">
        <f t="shared" si="4"/>
        <v>83974</v>
      </c>
      <c r="J58" s="62"/>
      <c r="K58" s="21"/>
      <c r="L58" s="22"/>
      <c r="M58" s="16"/>
      <c r="N58" s="16"/>
      <c r="O58" s="22"/>
      <c r="P58" s="22"/>
    </row>
    <row r="59" spans="1:16" ht="9" customHeight="1">
      <c r="A59" s="1" t="s">
        <v>21</v>
      </c>
      <c r="B59" s="16">
        <f>'Foglio1 (3)'!F28+'Foglio1 (3)'!F59+'Foglio1 (2)'!J29</f>
        <v>132210</v>
      </c>
      <c r="D59" s="22">
        <v>22</v>
      </c>
      <c r="E59" s="22">
        <v>224</v>
      </c>
      <c r="G59" s="16">
        <f t="shared" si="3"/>
        <v>246</v>
      </c>
      <c r="H59" s="15"/>
      <c r="I59" s="62">
        <f t="shared" si="4"/>
        <v>132456</v>
      </c>
      <c r="J59" s="62"/>
      <c r="K59" s="21"/>
      <c r="L59" s="22"/>
      <c r="M59" s="16"/>
      <c r="N59" s="16"/>
      <c r="O59" s="22"/>
      <c r="P59" s="22"/>
    </row>
    <row r="60" spans="1:16" ht="9" customHeight="1">
      <c r="A60" s="1" t="s">
        <v>22</v>
      </c>
      <c r="B60" s="16">
        <f>'Foglio1 (3)'!F29+'Foglio1 (3)'!F60+'Foglio1 (2)'!J30</f>
        <v>340645</v>
      </c>
      <c r="D60" s="22">
        <v>74</v>
      </c>
      <c r="E60" s="22">
        <v>158</v>
      </c>
      <c r="G60" s="16">
        <f t="shared" si="3"/>
        <v>232</v>
      </c>
      <c r="H60" s="15"/>
      <c r="I60" s="62">
        <f t="shared" si="4"/>
        <v>340877</v>
      </c>
      <c r="J60" s="62"/>
      <c r="K60" s="21"/>
      <c r="L60" s="22"/>
      <c r="M60" s="16"/>
      <c r="N60" s="16"/>
      <c r="O60" s="22"/>
      <c r="P60" s="22"/>
    </row>
    <row r="61" spans="1:16" ht="9" customHeight="1">
      <c r="A61" s="1" t="s">
        <v>23</v>
      </c>
      <c r="B61" s="16">
        <f>'Foglio1 (3)'!F30+'Foglio1 (3)'!F61+'Foglio1 (2)'!J31</f>
        <v>272745</v>
      </c>
      <c r="D61" s="22">
        <v>141</v>
      </c>
      <c r="E61" s="22">
        <v>1034</v>
      </c>
      <c r="G61" s="16">
        <f t="shared" si="3"/>
        <v>1175</v>
      </c>
      <c r="H61" s="15"/>
      <c r="I61" s="62">
        <f t="shared" si="4"/>
        <v>273920</v>
      </c>
      <c r="J61" s="62"/>
      <c r="K61" s="21"/>
      <c r="L61" s="22"/>
      <c r="M61" s="16"/>
      <c r="N61" s="16"/>
      <c r="O61" s="22"/>
      <c r="P61" s="22"/>
    </row>
    <row r="62" spans="1:16" ht="9" customHeight="1">
      <c r="A62" s="3" t="s">
        <v>24</v>
      </c>
      <c r="B62" s="18">
        <f>SUM(B40:B61)-B43</f>
        <v>6738883</v>
      </c>
      <c r="D62" s="23">
        <f>SUM(D40:D61)-D43</f>
        <v>32727</v>
      </c>
      <c r="E62" s="23">
        <f>SUM(E40:E61)-E43</f>
        <v>161050</v>
      </c>
      <c r="G62" s="18">
        <f>D62+E62</f>
        <v>193777</v>
      </c>
      <c r="H62" s="18"/>
      <c r="I62" s="70">
        <f>B62+G62</f>
        <v>6932660</v>
      </c>
      <c r="J62" s="70"/>
      <c r="K62" s="21"/>
      <c r="L62" s="22"/>
      <c r="M62" s="16"/>
      <c r="N62" s="16"/>
      <c r="O62" s="22"/>
      <c r="P62" s="22"/>
    </row>
    <row r="63" spans="1:16" ht="9" customHeight="1">
      <c r="A63" s="3" t="s">
        <v>41</v>
      </c>
      <c r="B63" s="18">
        <f>SUM(B40:B49)-B43</f>
        <v>4798641</v>
      </c>
      <c r="D63" s="18">
        <f>SUM(D40:D49)-D43</f>
        <v>1028</v>
      </c>
      <c r="E63" s="18">
        <f>SUM(E40:E49)-E43</f>
        <v>8299</v>
      </c>
      <c r="G63" s="18">
        <f>D63+E63</f>
        <v>9327</v>
      </c>
      <c r="H63" s="18"/>
      <c r="I63" s="70">
        <f>B63+G63</f>
        <v>4807968</v>
      </c>
      <c r="J63" s="70"/>
      <c r="K63" s="21"/>
      <c r="L63" s="22"/>
      <c r="M63" s="16"/>
      <c r="N63" s="16"/>
      <c r="O63" s="22"/>
      <c r="P63" s="22"/>
    </row>
    <row r="64" spans="1:16" ht="9" customHeight="1">
      <c r="A64" s="3" t="s">
        <v>42</v>
      </c>
      <c r="B64" s="18">
        <f>SUM(B50:B53)</f>
        <v>540308</v>
      </c>
      <c r="D64" s="18">
        <f>SUM(D50:D53)</f>
        <v>6002</v>
      </c>
      <c r="E64" s="18">
        <f>SUM(E50:E53)</f>
        <v>39060</v>
      </c>
      <c r="G64" s="18">
        <f>D64+E64</f>
        <v>45062</v>
      </c>
      <c r="H64" s="18"/>
      <c r="I64" s="70">
        <f>B64+G64</f>
        <v>585370</v>
      </c>
      <c r="J64" s="70"/>
      <c r="K64" s="21"/>
      <c r="L64" s="22"/>
      <c r="M64" s="16"/>
      <c r="N64" s="16"/>
      <c r="O64" s="22"/>
      <c r="P64" s="22"/>
    </row>
    <row r="65" spans="1:16" ht="9" customHeight="1">
      <c r="A65" s="5" t="s">
        <v>25</v>
      </c>
      <c r="B65" s="18">
        <f>SUM(B54:B61)</f>
        <v>1399934</v>
      </c>
      <c r="D65" s="23">
        <f>SUM(D54:D61)</f>
        <v>25697</v>
      </c>
      <c r="E65" s="23">
        <f>SUM(E54:E61)</f>
        <v>113691</v>
      </c>
      <c r="G65" s="18">
        <f>D65+E65</f>
        <v>139388</v>
      </c>
      <c r="H65" s="18"/>
      <c r="I65" s="70">
        <f>B65+G65</f>
        <v>1539322</v>
      </c>
      <c r="J65" s="70"/>
      <c r="K65" s="23"/>
      <c r="L65" s="24"/>
      <c r="M65" s="19"/>
      <c r="N65" s="28"/>
      <c r="O65" s="24"/>
      <c r="P65" s="24"/>
    </row>
    <row r="66" spans="1:16" ht="9" customHeight="1">
      <c r="A66" s="6"/>
      <c r="B66" s="29"/>
      <c r="C66" s="6"/>
      <c r="D66" s="6"/>
      <c r="E66" s="6"/>
      <c r="F66" s="6"/>
      <c r="G66" s="29"/>
      <c r="H66" s="29"/>
      <c r="I66" s="30"/>
      <c r="J66" s="30"/>
      <c r="K66" s="23"/>
      <c r="L66" s="24"/>
      <c r="M66" s="19"/>
      <c r="N66" s="28"/>
      <c r="O66" s="24"/>
      <c r="P66" s="24"/>
    </row>
    <row r="67" spans="7:20" ht="9" customHeight="1">
      <c r="G67" s="18"/>
      <c r="H67" s="18"/>
      <c r="I67" s="23"/>
      <c r="J67" s="23"/>
      <c r="K67" s="23"/>
      <c r="L67" s="23"/>
      <c r="M67" s="20"/>
      <c r="N67" s="43"/>
      <c r="O67" s="23"/>
      <c r="P67" s="23"/>
      <c r="Q67" s="7"/>
      <c r="R67" s="7"/>
      <c r="S67" s="7"/>
      <c r="T67" s="7"/>
    </row>
    <row r="68" spans="7:20" ht="9" customHeight="1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7:20" ht="9" customHeight="1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</sheetData>
  <mergeCells count="39">
    <mergeCell ref="I64:J64"/>
    <mergeCell ref="I65:J65"/>
    <mergeCell ref="I60:J60"/>
    <mergeCell ref="I61:J61"/>
    <mergeCell ref="I62:J62"/>
    <mergeCell ref="I63:J63"/>
    <mergeCell ref="I56:J56"/>
    <mergeCell ref="I57:J57"/>
    <mergeCell ref="I58:J58"/>
    <mergeCell ref="I59:J59"/>
    <mergeCell ref="I52:J52"/>
    <mergeCell ref="I53:J53"/>
    <mergeCell ref="I54:J54"/>
    <mergeCell ref="I55:J55"/>
    <mergeCell ref="I48:J48"/>
    <mergeCell ref="I49:J49"/>
    <mergeCell ref="I50:J50"/>
    <mergeCell ref="I51:J51"/>
    <mergeCell ref="I44:J44"/>
    <mergeCell ref="I45:J45"/>
    <mergeCell ref="I40:J40"/>
    <mergeCell ref="I41:J41"/>
    <mergeCell ref="I42:J42"/>
    <mergeCell ref="J6:J8"/>
    <mergeCell ref="B6:B8"/>
    <mergeCell ref="B37:B38"/>
    <mergeCell ref="I43:J43"/>
    <mergeCell ref="D37:E37"/>
    <mergeCell ref="I38:J38"/>
    <mergeCell ref="A5:A8"/>
    <mergeCell ref="A37:A38"/>
    <mergeCell ref="I47:J47"/>
    <mergeCell ref="I37:J37"/>
    <mergeCell ref="G37:G38"/>
    <mergeCell ref="I46:J46"/>
    <mergeCell ref="B5:J5"/>
    <mergeCell ref="D6:I6"/>
    <mergeCell ref="D7:E7"/>
    <mergeCell ref="G7:I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&amp;C297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2005-07-22T09:21:15Z</cp:lastPrinted>
  <dcterms:created xsi:type="dcterms:W3CDTF">1998-10-02T09:45:46Z</dcterms:created>
  <dcterms:modified xsi:type="dcterms:W3CDTF">2004-05-25T08:39:44Z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