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285" windowWidth="10575" windowHeight="3345" tabRatio="611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4" sheetId="8" r:id="rId8"/>
    <sheet name="3" sheetId="9" r:id="rId9"/>
    <sheet name="2" sheetId="10" r:id="rId10"/>
    <sheet name="1" sheetId="11" r:id="rId11"/>
  </sheets>
  <definedNames/>
  <calcPr fullCalcOnLoad="1"/>
</workbook>
</file>

<file path=xl/sharedStrings.xml><?xml version="1.0" encoding="utf-8"?>
<sst xmlns="http://schemas.openxmlformats.org/spreadsheetml/2006/main" count="658" uniqueCount="67">
  <si>
    <t>ANEMONI</t>
  </si>
  <si>
    <t>Superficie</t>
  </si>
  <si>
    <t>Piemonte</t>
  </si>
  <si>
    <t>Lombardia</t>
  </si>
  <si>
    <t>Liguria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</si>
  <si>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</si>
  <si>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</si>
  <si>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</si>
  <si>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</si>
  <si>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</si>
  <si>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</si>
  <si>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</si>
  <si>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</si>
  <si>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</si>
  <si>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</si>
  <si>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</si>
  <si>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CALENDOLE</t>
  </si>
  <si>
    <t>Veneto</t>
  </si>
  <si>
    <t>CALLE</t>
  </si>
  <si>
    <t>Trento</t>
  </si>
  <si>
    <t>Emilia-Romagna</t>
  </si>
  <si>
    <t>Bolzano</t>
  </si>
  <si>
    <t>FRESIE</t>
  </si>
  <si>
    <t>GAROFANI</t>
  </si>
  <si>
    <t>GERBERE</t>
  </si>
  <si>
    <t>GLADIOLI</t>
  </si>
  <si>
    <t>IRIS</t>
  </si>
  <si>
    <t>RANUNCOLI</t>
  </si>
  <si>
    <t>ROSE</t>
  </si>
  <si>
    <t>TULIPANI</t>
  </si>
  <si>
    <t>REGIONI</t>
  </si>
  <si>
    <t>Produzione</t>
  </si>
  <si>
    <t>GIGLI / LILIUM</t>
  </si>
  <si>
    <t>MARGHERITE</t>
  </si>
  <si>
    <t>CRISANTEMI</t>
  </si>
  <si>
    <t xml:space="preserve">ORCHIDEE </t>
  </si>
  <si>
    <t>Orchidee terrestri</t>
  </si>
  <si>
    <t>Orchidee epifite</t>
  </si>
  <si>
    <t>Trentino-Alto Adige</t>
  </si>
  <si>
    <t>Mezzogiorno</t>
  </si>
  <si>
    <t>Friuli-Venezia Giulia</t>
  </si>
  <si>
    <t>Friuli-Venezia  Giulia</t>
  </si>
  <si>
    <t>Friuli- Venezia Giulia</t>
  </si>
  <si>
    <t>-</t>
  </si>
  <si>
    <t>Emilia Romagna</t>
  </si>
  <si>
    <t>IN  COMPLESSO</t>
  </si>
  <si>
    <t>Valle d'Aosta</t>
  </si>
  <si>
    <t>Valle d Aosta</t>
  </si>
  <si>
    <t>Friuli Venezia Giulia</t>
  </si>
  <si>
    <t>Trentino Alto Adige</t>
  </si>
  <si>
    <t>In piena aria</t>
  </si>
  <si>
    <t>In serra</t>
  </si>
  <si>
    <t>Totale</t>
  </si>
  <si>
    <t>Centro</t>
  </si>
  <si>
    <t>Nord</t>
  </si>
  <si>
    <t xml:space="preserve"> -</t>
  </si>
  <si>
    <t>50</t>
  </si>
  <si>
    <t>Crisantemi   multiflori</t>
  </si>
  <si>
    <t>Crisantemi  uniflori</t>
  </si>
  <si>
    <t>Garofani standard</t>
  </si>
  <si>
    <t xml:space="preserve">                          produzione in migliaia di pezzi )</t>
  </si>
  <si>
    <t xml:space="preserve">                                   are, produzione in migliaia di pezzi )</t>
  </si>
  <si>
    <t>ALTRI FIORI</t>
  </si>
  <si>
    <r>
      <t xml:space="preserve">Tavola   3.24  -  Coltivazione  di  fiori recisi  per specie e regione  -  Anno 2001 </t>
    </r>
    <r>
      <rPr>
        <i/>
        <sz val="9"/>
        <rFont val="Arial"/>
        <family val="2"/>
      </rPr>
      <t xml:space="preserve">(superficie in are, </t>
    </r>
  </si>
  <si>
    <r>
      <t xml:space="preserve">Tavola  3.24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-  Coltivazione di fiori recisi  per specie e regione  -  Anno 2001 </t>
    </r>
    <r>
      <rPr>
        <i/>
        <sz val="9"/>
        <rFont val="Arial"/>
        <family val="2"/>
      </rPr>
      <t xml:space="preserve">(superficie in </t>
    </r>
  </si>
  <si>
    <t>Garofani multifuiri</t>
  </si>
  <si>
    <t>Altri garofani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</si>
</sst>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#,##0_ ;\-#,##0\ "/>
    <numFmt numFmtId="177" formatCode="_-* #,##0.0_-;\-* #,##0.0_-;_-* &quot;-&quot;??_-;_-@_-"/>
    <numFmt numFmtId="178" formatCode="_-* #,##0_-;\-* #,##0_-;_-* &quot;-&quot;??_-;_-@_-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1" fontId="0" fillId="0" borderId="1" xfId="16" applyBorder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>
      <alignment/>
    </xf>
    <xf numFmtId="41" fontId="2" fillId="0" borderId="1" xfId="16" applyFont="1" applyBorder="1" applyAlignment="1">
      <alignment/>
    </xf>
    <xf numFmtId="41" fontId="2" fillId="0" borderId="0" xfId="16" applyFont="1" applyBorder="1" applyAlignment="1">
      <alignment/>
    </xf>
    <xf numFmtId="41" fontId="2" fillId="0" borderId="0" xfId="16" applyFont="1" applyBorder="1" applyAlignment="1">
      <alignment horizontal="left" vertical="center"/>
    </xf>
    <xf numFmtId="41" fontId="4" fillId="0" borderId="0" xfId="16" applyFont="1" applyAlignment="1">
      <alignment/>
    </xf>
    <xf numFmtId="41" fontId="2" fillId="0" borderId="0" xfId="16" applyFont="1" applyAlignment="1">
      <alignment horizontal="center" vertical="center"/>
    </xf>
    <xf numFmtId="41" fontId="4" fillId="0" borderId="0" xfId="16" applyFont="1" applyBorder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 horizontal="right"/>
    </xf>
    <xf numFmtId="41" fontId="6" fillId="0" borderId="0" xfId="16" applyFont="1" applyAlignment="1">
      <alignment/>
    </xf>
    <xf numFmtId="41" fontId="4" fillId="0" borderId="1" xfId="16" applyFont="1" applyBorder="1" applyAlignment="1">
      <alignment/>
    </xf>
    <xf numFmtId="41" fontId="7" fillId="0" borderId="0" xfId="16" applyFont="1" applyAlignment="1">
      <alignment/>
    </xf>
    <xf numFmtId="41" fontId="7" fillId="0" borderId="1" xfId="16" applyFont="1" applyBorder="1" applyAlignment="1">
      <alignment/>
    </xf>
    <xf numFmtId="49" fontId="1" fillId="0" borderId="0" xfId="16" applyNumberFormat="1" applyFont="1" applyAlignment="1">
      <alignment/>
    </xf>
    <xf numFmtId="49" fontId="3" fillId="0" borderId="0" xfId="16" applyNumberFormat="1" applyFont="1" applyAlignment="1">
      <alignment/>
    </xf>
    <xf numFmtId="49" fontId="0" fillId="0" borderId="0" xfId="16" applyNumberFormat="1" applyAlignment="1">
      <alignment/>
    </xf>
    <xf numFmtId="41" fontId="0" fillId="0" borderId="1" xfId="16" applyBorder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/>
    </xf>
    <xf numFmtId="41" fontId="0" fillId="0" borderId="2" xfId="16" applyBorder="1" applyAlignment="1">
      <alignment vertical="center"/>
    </xf>
    <xf numFmtId="41" fontId="2" fillId="0" borderId="2" xfId="16" applyFont="1" applyBorder="1" applyAlignment="1">
      <alignment horizontal="center" vertical="center"/>
    </xf>
    <xf numFmtId="41" fontId="2" fillId="0" borderId="1" xfId="16" applyFont="1" applyBorder="1" applyAlignment="1">
      <alignment horizontal="right" vertical="center"/>
    </xf>
    <xf numFmtId="41" fontId="2" fillId="0" borderId="1" xfId="16" applyFont="1" applyBorder="1" applyAlignment="1">
      <alignment vertical="center"/>
    </xf>
    <xf numFmtId="1" fontId="2" fillId="0" borderId="0" xfId="16" applyNumberFormat="1" applyFont="1" applyAlignment="1" quotePrefix="1">
      <alignment/>
    </xf>
    <xf numFmtId="0" fontId="2" fillId="0" borderId="0" xfId="0" applyFont="1" applyAlignment="1">
      <alignment/>
    </xf>
    <xf numFmtId="41" fontId="2" fillId="0" borderId="0" xfId="16" applyFont="1" applyAlignment="1" quotePrefix="1">
      <alignment horizontal="right"/>
    </xf>
    <xf numFmtId="41" fontId="4" fillId="0" borderId="0" xfId="16" applyFont="1" applyAlignment="1">
      <alignment horizontal="right"/>
    </xf>
    <xf numFmtId="41" fontId="9" fillId="0" borderId="0" xfId="16" applyFont="1" applyAlignment="1">
      <alignment/>
    </xf>
    <xf numFmtId="41" fontId="6" fillId="0" borderId="1" xfId="16" applyFont="1" applyBorder="1" applyAlignment="1">
      <alignment/>
    </xf>
    <xf numFmtId="49" fontId="4" fillId="0" borderId="0" xfId="16" applyNumberFormat="1" applyFont="1" applyAlignment="1">
      <alignment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 horizontal="right"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vertical="center"/>
    </xf>
    <xf numFmtId="49" fontId="2" fillId="0" borderId="0" xfId="16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16" applyNumberFormat="1" applyFont="1" applyAlignment="1">
      <alignment/>
    </xf>
    <xf numFmtId="49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5" fillId="0" borderId="0" xfId="16" applyFont="1" applyAlignment="1">
      <alignment horizontal="center" vertical="center"/>
    </xf>
    <xf numFmtId="41" fontId="4" fillId="0" borderId="0" xfId="16" applyFont="1" applyAlignment="1">
      <alignment horizontal="left"/>
    </xf>
    <xf numFmtId="49" fontId="4" fillId="0" borderId="0" xfId="16" applyNumberFormat="1" applyFont="1" applyBorder="1" applyAlignment="1">
      <alignment/>
    </xf>
    <xf numFmtId="41" fontId="2" fillId="0" borderId="0" xfId="16" applyFont="1" applyAlignment="1">
      <alignment horizontal="left"/>
    </xf>
    <xf numFmtId="41" fontId="2" fillId="0" borderId="0" xfId="16" applyFont="1" applyAlignment="1">
      <alignment horizontal="left" vertical="center"/>
    </xf>
    <xf numFmtId="41" fontId="11" fillId="0" borderId="0" xfId="16" applyFont="1" applyAlignment="1">
      <alignment/>
    </xf>
    <xf numFmtId="41" fontId="0" fillId="0" borderId="0" xfId="16" applyFont="1" applyAlignment="1">
      <alignment/>
    </xf>
    <xf numFmtId="41" fontId="2" fillId="0" borderId="0" xfId="16" applyFont="1" applyAlignment="1">
      <alignment horizontal="right" vertical="center"/>
    </xf>
    <xf numFmtId="41" fontId="4" fillId="0" borderId="0" xfId="16" applyFont="1" applyAlignment="1">
      <alignment horizontal="right" vertical="center"/>
    </xf>
    <xf numFmtId="41" fontId="2" fillId="0" borderId="0" xfId="16" applyFont="1" applyAlignment="1">
      <alignment vertical="center"/>
    </xf>
    <xf numFmtId="41" fontId="0" fillId="0" borderId="1" xfId="16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1" fontId="4" fillId="0" borderId="0" xfId="16" applyFont="1" applyBorder="1" applyAlignment="1">
      <alignment vertical="center"/>
    </xf>
    <xf numFmtId="49" fontId="2" fillId="0" borderId="0" xfId="16" applyNumberFormat="1" applyFont="1" applyAlignment="1">
      <alignment horizontal="right" vertical="center"/>
    </xf>
    <xf numFmtId="49" fontId="2" fillId="0" borderId="0" xfId="16" applyNumberFormat="1" applyFont="1" applyAlignment="1">
      <alignment horizontal="right"/>
    </xf>
    <xf numFmtId="41" fontId="2" fillId="0" borderId="0" xfId="18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178" fontId="2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178" fontId="2" fillId="0" borderId="0" xfId="0" applyNumberFormat="1" applyFont="1" applyAlignment="1">
      <alignment/>
    </xf>
    <xf numFmtId="13" fontId="6" fillId="0" borderId="0" xfId="16" applyNumberFormat="1" applyFont="1" applyAlignment="1">
      <alignment/>
    </xf>
    <xf numFmtId="13" fontId="2" fillId="0" borderId="0" xfId="16" applyNumberFormat="1" applyFont="1" applyAlignment="1">
      <alignment/>
    </xf>
    <xf numFmtId="178" fontId="2" fillId="0" borderId="0" xfId="15" applyNumberFormat="1" applyFont="1" applyAlignment="1" quotePrefix="1">
      <alignment horizontal="right"/>
    </xf>
    <xf numFmtId="178" fontId="5" fillId="0" borderId="0" xfId="15" applyNumberFormat="1" applyFont="1" applyAlignment="1">
      <alignment horizontal="right"/>
    </xf>
    <xf numFmtId="178" fontId="5" fillId="0" borderId="0" xfId="15" applyNumberFormat="1" applyFont="1" applyAlignment="1">
      <alignment/>
    </xf>
    <xf numFmtId="178" fontId="5" fillId="0" borderId="0" xfId="0" applyNumberFormat="1" applyFont="1" applyAlignment="1">
      <alignment/>
    </xf>
    <xf numFmtId="41" fontId="5" fillId="0" borderId="0" xfId="16" applyFont="1" applyBorder="1" applyAlignment="1">
      <alignment/>
    </xf>
    <xf numFmtId="3" fontId="4" fillId="0" borderId="0" xfId="0" applyNumberFormat="1" applyFont="1" applyAlignment="1">
      <alignment horizontal="right"/>
    </xf>
    <xf numFmtId="178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178" fontId="4" fillId="0" borderId="0" xfId="15" applyNumberFormat="1" applyFont="1" applyAlignment="1">
      <alignment/>
    </xf>
    <xf numFmtId="178" fontId="5" fillId="0" borderId="0" xfId="15" applyNumberFormat="1" applyFont="1" applyAlignment="1" quotePrefix="1">
      <alignment horizontal="right"/>
    </xf>
    <xf numFmtId="178" fontId="2" fillId="0" borderId="0" xfId="15" applyNumberFormat="1" applyFont="1" applyAlignment="1">
      <alignment horizontal="center" vertical="center"/>
    </xf>
    <xf numFmtId="178" fontId="4" fillId="0" borderId="0" xfId="15" applyNumberFormat="1" applyFont="1" applyAlignment="1">
      <alignment horizontal="center" vertical="center"/>
    </xf>
    <xf numFmtId="178" fontId="5" fillId="0" borderId="0" xfId="15" applyNumberFormat="1" applyFont="1" applyAlignment="1" quotePrefix="1">
      <alignment/>
    </xf>
    <xf numFmtId="49" fontId="4" fillId="0" borderId="0" xfId="16" applyNumberFormat="1" applyFont="1" applyAlignment="1">
      <alignment horizontal="left"/>
    </xf>
    <xf numFmtId="49" fontId="2" fillId="0" borderId="0" xfId="16" applyNumberFormat="1" applyFont="1" applyAlignment="1">
      <alignment horizontal="left"/>
    </xf>
    <xf numFmtId="49" fontId="2" fillId="0" borderId="0" xfId="16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16" applyNumberFormat="1" applyFont="1" applyAlignment="1">
      <alignment/>
    </xf>
    <xf numFmtId="41" fontId="2" fillId="0" borderId="0" xfId="16" applyFont="1" applyAlignment="1">
      <alignment horizontal="center" vertical="center"/>
    </xf>
    <xf numFmtId="41" fontId="2" fillId="0" borderId="2" xfId="16" applyFont="1" applyBorder="1" applyAlignment="1">
      <alignment horizontal="left" vertical="center"/>
    </xf>
    <xf numFmtId="41" fontId="2" fillId="0" borderId="1" xfId="16" applyFont="1" applyBorder="1" applyAlignment="1">
      <alignment horizontal="left" vertical="center"/>
    </xf>
    <xf numFmtId="41" fontId="2" fillId="0" borderId="3" xfId="16" applyFont="1" applyBorder="1" applyAlignment="1">
      <alignment horizontal="center" vertical="center"/>
    </xf>
    <xf numFmtId="41" fontId="2" fillId="0" borderId="0" xfId="1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4.421875" style="20" customWidth="1"/>
    <col min="2" max="2" width="9.421875" style="20" bestFit="1" customWidth="1"/>
    <col min="3" max="3" width="10.421875" style="20" bestFit="1" customWidth="1"/>
    <col min="4" max="4" width="2.140625" style="20" customWidth="1"/>
    <col min="5" max="6" width="9.421875" style="20" bestFit="1" customWidth="1"/>
    <col min="7" max="7" width="2.140625" style="20" customWidth="1"/>
    <col min="8" max="8" width="9.421875" style="20" bestFit="1" customWidth="1"/>
    <col min="9" max="9" width="10.140625" style="20" bestFit="1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35"/>
      <c r="C7" s="35"/>
      <c r="D7" s="36"/>
      <c r="E7" s="35"/>
      <c r="F7" s="35"/>
      <c r="G7" s="35"/>
      <c r="H7" s="35"/>
      <c r="I7" s="35"/>
    </row>
    <row r="8" spans="1:9" s="3" customFormat="1" ht="14.25" customHeight="1">
      <c r="A8" s="93" t="s">
        <v>28</v>
      </c>
      <c r="B8" s="93"/>
      <c r="C8" s="93"/>
      <c r="D8" s="93"/>
      <c r="E8" s="93"/>
      <c r="F8" s="93"/>
      <c r="G8" s="93"/>
      <c r="H8" s="93"/>
      <c r="I8" s="93"/>
    </row>
    <row r="9" spans="1:9" s="3" customFormat="1" ht="9" customHeight="1">
      <c r="A9" s="38" t="s">
        <v>2</v>
      </c>
      <c r="B9" s="70">
        <v>2451</v>
      </c>
      <c r="C9" s="70">
        <v>3803</v>
      </c>
      <c r="D9" s="70"/>
      <c r="E9" s="70">
        <v>6770</v>
      </c>
      <c r="F9" s="70">
        <v>8990</v>
      </c>
      <c r="G9" s="70"/>
      <c r="H9" s="70">
        <f>SUM(B9+E9)</f>
        <v>9221</v>
      </c>
      <c r="I9" s="70">
        <f>SUM(C9+F9)</f>
        <v>12793</v>
      </c>
    </row>
    <row r="10" spans="1:9" s="3" customFormat="1" ht="9" customHeight="1">
      <c r="A10" s="38" t="s">
        <v>47</v>
      </c>
      <c r="B10" s="70">
        <v>80</v>
      </c>
      <c r="C10" s="70">
        <v>340</v>
      </c>
      <c r="D10" s="70"/>
      <c r="E10" s="70">
        <v>0</v>
      </c>
      <c r="F10" s="70">
        <v>0</v>
      </c>
      <c r="G10" s="70"/>
      <c r="H10" s="70">
        <f aca="true" t="shared" si="0" ref="H10:H28">SUM(B10+E10)</f>
        <v>80</v>
      </c>
      <c r="I10" s="70">
        <f>SUM(C10+F10)</f>
        <v>340</v>
      </c>
    </row>
    <row r="11" spans="1:9" s="3" customFormat="1" ht="9" customHeight="1">
      <c r="A11" s="38" t="s">
        <v>3</v>
      </c>
      <c r="B11" s="70">
        <v>395</v>
      </c>
      <c r="C11" s="70">
        <v>1860</v>
      </c>
      <c r="D11" s="70"/>
      <c r="E11" s="70">
        <v>522</v>
      </c>
      <c r="F11" s="70">
        <v>1774</v>
      </c>
      <c r="G11" s="70"/>
      <c r="H11" s="70">
        <f t="shared" si="0"/>
        <v>917</v>
      </c>
      <c r="I11" s="70">
        <f>SUM(C11+F11)</f>
        <v>3634</v>
      </c>
    </row>
    <row r="12" spans="1:9" s="3" customFormat="1" ht="9" customHeight="1">
      <c r="A12" s="38" t="s">
        <v>49</v>
      </c>
      <c r="B12" s="71">
        <f>SUM(B13:B14)</f>
        <v>19</v>
      </c>
      <c r="C12" s="71">
        <f>SUM(C13:C14)</f>
        <v>63</v>
      </c>
      <c r="D12" s="71"/>
      <c r="E12" s="71">
        <f>SUM(E13:E14)</f>
        <v>21</v>
      </c>
      <c r="F12" s="71">
        <f>SUM(F13:F14)</f>
        <v>44</v>
      </c>
      <c r="G12" s="71"/>
      <c r="H12" s="70">
        <f t="shared" si="0"/>
        <v>40</v>
      </c>
      <c r="I12" s="70">
        <f aca="true" t="shared" si="1" ref="I12:I28">SUM(C12+F12)</f>
        <v>107</v>
      </c>
    </row>
    <row r="13" spans="1:9" s="10" customFormat="1" ht="9" customHeight="1">
      <c r="A13" s="39" t="s">
        <v>21</v>
      </c>
      <c r="B13" s="77">
        <v>13</v>
      </c>
      <c r="C13" s="77">
        <v>42</v>
      </c>
      <c r="D13" s="77"/>
      <c r="E13" s="77">
        <v>20</v>
      </c>
      <c r="F13" s="77">
        <v>42</v>
      </c>
      <c r="G13" s="77"/>
      <c r="H13" s="77">
        <f t="shared" si="0"/>
        <v>33</v>
      </c>
      <c r="I13" s="77">
        <f t="shared" si="1"/>
        <v>84</v>
      </c>
    </row>
    <row r="14" spans="1:9" s="10" customFormat="1" ht="9" customHeight="1">
      <c r="A14" s="39" t="s">
        <v>19</v>
      </c>
      <c r="B14" s="77">
        <v>6</v>
      </c>
      <c r="C14" s="77">
        <v>21</v>
      </c>
      <c r="D14" s="77"/>
      <c r="E14" s="77">
        <v>1</v>
      </c>
      <c r="F14" s="77">
        <v>2</v>
      </c>
      <c r="G14" s="77"/>
      <c r="H14" s="77">
        <f t="shared" si="0"/>
        <v>7</v>
      </c>
      <c r="I14" s="77">
        <f t="shared" si="1"/>
        <v>23</v>
      </c>
    </row>
    <row r="15" spans="1:9" s="3" customFormat="1" ht="9" customHeight="1">
      <c r="A15" s="38" t="s">
        <v>17</v>
      </c>
      <c r="B15" s="70">
        <v>2615</v>
      </c>
      <c r="C15" s="70">
        <v>8784</v>
      </c>
      <c r="D15" s="70"/>
      <c r="E15" s="70">
        <v>1032</v>
      </c>
      <c r="F15" s="70">
        <v>3223</v>
      </c>
      <c r="G15" s="70"/>
      <c r="H15" s="70">
        <f t="shared" si="0"/>
        <v>3647</v>
      </c>
      <c r="I15" s="70">
        <f t="shared" si="1"/>
        <v>12007</v>
      </c>
    </row>
    <row r="16" spans="1:9" s="3" customFormat="1" ht="9" customHeight="1">
      <c r="A16" s="38" t="s">
        <v>48</v>
      </c>
      <c r="B16" s="70">
        <v>340</v>
      </c>
      <c r="C16" s="70">
        <v>1475</v>
      </c>
      <c r="D16" s="70"/>
      <c r="E16" s="70">
        <v>720</v>
      </c>
      <c r="F16" s="70">
        <v>1789</v>
      </c>
      <c r="G16" s="70"/>
      <c r="H16" s="70">
        <f t="shared" si="0"/>
        <v>1060</v>
      </c>
      <c r="I16" s="70">
        <f t="shared" si="1"/>
        <v>3264</v>
      </c>
    </row>
    <row r="17" spans="1:9" s="3" customFormat="1" ht="9" customHeight="1">
      <c r="A17" s="38" t="s">
        <v>4</v>
      </c>
      <c r="B17" s="70">
        <v>31390</v>
      </c>
      <c r="C17" s="70">
        <v>165230</v>
      </c>
      <c r="D17" s="70"/>
      <c r="E17" s="70">
        <v>700</v>
      </c>
      <c r="F17" s="70">
        <v>2400</v>
      </c>
      <c r="G17" s="70"/>
      <c r="H17" s="70">
        <f t="shared" si="0"/>
        <v>32090</v>
      </c>
      <c r="I17" s="70">
        <f t="shared" si="1"/>
        <v>167630</v>
      </c>
    </row>
    <row r="18" spans="1:9" s="3" customFormat="1" ht="9" customHeight="1">
      <c r="A18" s="38" t="s">
        <v>44</v>
      </c>
      <c r="B18" s="70">
        <v>680</v>
      </c>
      <c r="C18" s="70">
        <v>1064</v>
      </c>
      <c r="D18" s="70"/>
      <c r="E18" s="70">
        <v>760</v>
      </c>
      <c r="F18" s="70">
        <v>2271</v>
      </c>
      <c r="G18" s="70"/>
      <c r="H18" s="70">
        <f t="shared" si="0"/>
        <v>1440</v>
      </c>
      <c r="I18" s="70">
        <f t="shared" si="1"/>
        <v>3335</v>
      </c>
    </row>
    <row r="19" spans="1:9" s="3" customFormat="1" ht="8.25" customHeight="1">
      <c r="A19" s="38" t="s">
        <v>5</v>
      </c>
      <c r="B19" s="70">
        <v>4595</v>
      </c>
      <c r="C19" s="70">
        <v>20370</v>
      </c>
      <c r="D19" s="70"/>
      <c r="E19" s="70">
        <v>1070</v>
      </c>
      <c r="F19" s="70">
        <v>3365</v>
      </c>
      <c r="G19" s="70"/>
      <c r="H19" s="70">
        <f t="shared" si="0"/>
        <v>5665</v>
      </c>
      <c r="I19" s="70">
        <f t="shared" si="1"/>
        <v>23735</v>
      </c>
    </row>
    <row r="20" spans="1:9" s="3" customFormat="1" ht="8.25" customHeight="1">
      <c r="A20" s="38" t="s">
        <v>6</v>
      </c>
      <c r="B20" s="70">
        <v>1100</v>
      </c>
      <c r="C20" s="70">
        <v>2750</v>
      </c>
      <c r="D20" s="70"/>
      <c r="E20" s="70">
        <v>0</v>
      </c>
      <c r="F20" s="70">
        <v>0</v>
      </c>
      <c r="G20" s="70"/>
      <c r="H20" s="70">
        <f t="shared" si="0"/>
        <v>1100</v>
      </c>
      <c r="I20" s="70">
        <f t="shared" si="1"/>
        <v>2750</v>
      </c>
    </row>
    <row r="21" spans="1:9" s="3" customFormat="1" ht="9" customHeight="1">
      <c r="A21" s="38" t="s">
        <v>7</v>
      </c>
      <c r="B21" s="70">
        <v>245</v>
      </c>
      <c r="C21" s="70">
        <v>493</v>
      </c>
      <c r="D21" s="70"/>
      <c r="E21" s="70">
        <v>370</v>
      </c>
      <c r="F21" s="70">
        <v>865</v>
      </c>
      <c r="G21" s="70"/>
      <c r="H21" s="70">
        <f t="shared" si="0"/>
        <v>615</v>
      </c>
      <c r="I21" s="70">
        <f t="shared" si="1"/>
        <v>1358</v>
      </c>
    </row>
    <row r="22" spans="1:9" s="3" customFormat="1" ht="9" customHeight="1">
      <c r="A22" s="38" t="s">
        <v>8</v>
      </c>
      <c r="B22" s="70">
        <v>10904</v>
      </c>
      <c r="C22" s="70">
        <v>22849</v>
      </c>
      <c r="D22" s="70"/>
      <c r="E22" s="70">
        <v>150</v>
      </c>
      <c r="F22" s="70">
        <v>1152</v>
      </c>
      <c r="G22" s="70"/>
      <c r="H22" s="70">
        <f t="shared" si="0"/>
        <v>11054</v>
      </c>
      <c r="I22" s="70">
        <f t="shared" si="1"/>
        <v>24001</v>
      </c>
    </row>
    <row r="23" spans="1:9" s="3" customFormat="1" ht="9" customHeight="1">
      <c r="A23" s="38" t="s">
        <v>9</v>
      </c>
      <c r="B23" s="70">
        <v>650</v>
      </c>
      <c r="C23" s="70">
        <v>2362</v>
      </c>
      <c r="D23" s="70"/>
      <c r="E23" s="70">
        <v>0</v>
      </c>
      <c r="F23" s="70">
        <v>0</v>
      </c>
      <c r="G23" s="70"/>
      <c r="H23" s="70">
        <f t="shared" si="0"/>
        <v>650</v>
      </c>
      <c r="I23" s="70">
        <f t="shared" si="1"/>
        <v>2362</v>
      </c>
    </row>
    <row r="24" spans="1:9" s="3" customFormat="1" ht="9" customHeight="1">
      <c r="A24" s="38" t="s">
        <v>10</v>
      </c>
      <c r="B24" s="70">
        <v>34383</v>
      </c>
      <c r="C24" s="70">
        <v>371960</v>
      </c>
      <c r="D24" s="70"/>
      <c r="E24" s="70">
        <v>8000</v>
      </c>
      <c r="F24" s="70">
        <v>58000</v>
      </c>
      <c r="G24" s="70"/>
      <c r="H24" s="70">
        <f t="shared" si="0"/>
        <v>42383</v>
      </c>
      <c r="I24" s="70">
        <f t="shared" si="1"/>
        <v>429960</v>
      </c>
    </row>
    <row r="25" spans="1:9" s="3" customFormat="1" ht="9" customHeight="1">
      <c r="A25" s="38" t="s">
        <v>11</v>
      </c>
      <c r="B25" s="70">
        <v>13900</v>
      </c>
      <c r="C25" s="70">
        <v>88830</v>
      </c>
      <c r="D25" s="70"/>
      <c r="E25" s="70">
        <v>250</v>
      </c>
      <c r="F25" s="70">
        <v>875</v>
      </c>
      <c r="G25" s="70"/>
      <c r="H25" s="70">
        <f t="shared" si="0"/>
        <v>14150</v>
      </c>
      <c r="I25" s="70">
        <f t="shared" si="1"/>
        <v>89705</v>
      </c>
    </row>
    <row r="26" spans="1:9" s="3" customFormat="1" ht="9" customHeight="1">
      <c r="A26" s="38" t="s">
        <v>12</v>
      </c>
      <c r="B26" s="70">
        <v>610</v>
      </c>
      <c r="C26" s="70">
        <v>2923</v>
      </c>
      <c r="D26" s="70"/>
      <c r="E26" s="70">
        <v>60</v>
      </c>
      <c r="F26" s="70">
        <v>200</v>
      </c>
      <c r="G26" s="70"/>
      <c r="H26" s="70">
        <f t="shared" si="0"/>
        <v>670</v>
      </c>
      <c r="I26" s="70">
        <f t="shared" si="1"/>
        <v>3123</v>
      </c>
    </row>
    <row r="27" spans="1:9" s="3" customFormat="1" ht="9" customHeight="1">
      <c r="A27" s="38" t="s">
        <v>13</v>
      </c>
      <c r="B27" s="70">
        <v>13190</v>
      </c>
      <c r="C27" s="70">
        <v>56630</v>
      </c>
      <c r="D27" s="70"/>
      <c r="E27" s="70">
        <v>1500</v>
      </c>
      <c r="F27" s="70">
        <v>4808</v>
      </c>
      <c r="G27" s="70"/>
      <c r="H27" s="70">
        <f t="shared" si="0"/>
        <v>14690</v>
      </c>
      <c r="I27" s="70">
        <f t="shared" si="1"/>
        <v>61438</v>
      </c>
    </row>
    <row r="28" spans="1:9" s="3" customFormat="1" ht="9" customHeight="1">
      <c r="A28" s="38" t="s">
        <v>14</v>
      </c>
      <c r="B28" s="70">
        <v>2220</v>
      </c>
      <c r="C28" s="70">
        <v>11600</v>
      </c>
      <c r="D28" s="70"/>
      <c r="E28" s="70">
        <v>600</v>
      </c>
      <c r="F28" s="70">
        <v>2500</v>
      </c>
      <c r="G28" s="70"/>
      <c r="H28" s="70">
        <f t="shared" si="0"/>
        <v>2820</v>
      </c>
      <c r="I28" s="70">
        <f t="shared" si="1"/>
        <v>14100</v>
      </c>
    </row>
    <row r="29" spans="1:9" s="3" customFormat="1" ht="9" customHeight="1">
      <c r="A29" s="41" t="s">
        <v>15</v>
      </c>
      <c r="B29" s="29">
        <f>SUM(B9:B28)-B12</f>
        <v>119767</v>
      </c>
      <c r="C29" s="29">
        <f>SUM(C9:C28)-C12</f>
        <v>763386</v>
      </c>
      <c r="D29" s="29"/>
      <c r="E29" s="29">
        <f>SUM(E9:E28)-E12</f>
        <v>22525</v>
      </c>
      <c r="F29" s="29">
        <f>SUM(F9:F28)-F12</f>
        <v>92256</v>
      </c>
      <c r="G29" s="29"/>
      <c r="H29" s="29">
        <f>SUM(H9:H28)-H12</f>
        <v>142292</v>
      </c>
      <c r="I29" s="29">
        <f>SUM(I9:I28)-I12</f>
        <v>855642</v>
      </c>
    </row>
    <row r="30" spans="1:9" s="3" customFormat="1" ht="9" customHeight="1">
      <c r="A30" s="41" t="s">
        <v>54</v>
      </c>
      <c r="B30" s="29">
        <f>SUM(B9:B18)-B12</f>
        <v>37970</v>
      </c>
      <c r="C30" s="29">
        <f>SUM(C9:C18)-C12</f>
        <v>182619</v>
      </c>
      <c r="D30" s="29"/>
      <c r="E30" s="29">
        <f>SUM(E9:E18)-E12</f>
        <v>10525</v>
      </c>
      <c r="F30" s="29">
        <f>SUM(F9:F18)-F12</f>
        <v>20491</v>
      </c>
      <c r="G30" s="29"/>
      <c r="H30" s="29">
        <f>SUM(H9:H18)-H12</f>
        <v>48495</v>
      </c>
      <c r="I30" s="29">
        <f>SUM(I9:I18)-I12</f>
        <v>203110</v>
      </c>
    </row>
    <row r="31" spans="1:9" s="3" customFormat="1" ht="9" customHeight="1">
      <c r="A31" s="41" t="s">
        <v>53</v>
      </c>
      <c r="B31" s="29">
        <f>SUM(B19:B22)</f>
        <v>16844</v>
      </c>
      <c r="C31" s="29">
        <f>SUM(C19:C22)</f>
        <v>46462</v>
      </c>
      <c r="D31" s="29"/>
      <c r="E31" s="29">
        <f>SUM(E19:E22)</f>
        <v>1590</v>
      </c>
      <c r="F31" s="29">
        <f>SUM(F19:F22)</f>
        <v>5382</v>
      </c>
      <c r="G31" s="29"/>
      <c r="H31" s="29">
        <f>SUM(H19:H22)</f>
        <v>18434</v>
      </c>
      <c r="I31" s="29">
        <f>SUM(I19:I22)</f>
        <v>51844</v>
      </c>
    </row>
    <row r="32" spans="1:9" s="3" customFormat="1" ht="9" customHeight="1">
      <c r="A32" s="41" t="s">
        <v>39</v>
      </c>
      <c r="B32" s="29">
        <f>SUM(B23:B28)</f>
        <v>64953</v>
      </c>
      <c r="C32" s="29">
        <f>SUM(C23:C28)</f>
        <v>534305</v>
      </c>
      <c r="D32" s="29"/>
      <c r="E32" s="29">
        <f>SUM(E23:E28)</f>
        <v>10410</v>
      </c>
      <c r="F32" s="29">
        <f>SUM(F23:F28)</f>
        <v>66383</v>
      </c>
      <c r="G32" s="29"/>
      <c r="H32" s="29">
        <f>SUM(H23:H28)</f>
        <v>75363</v>
      </c>
      <c r="I32" s="29">
        <f>SUM(I23:I28)</f>
        <v>600688</v>
      </c>
    </row>
    <row r="33" spans="1:9" s="3" customFormat="1" ht="9" customHeight="1">
      <c r="A33" s="27"/>
      <c r="B33" s="2"/>
      <c r="C33" s="2"/>
      <c r="D33" s="2"/>
      <c r="E33" s="2"/>
      <c r="F33" s="2"/>
      <c r="G33" s="2"/>
      <c r="H33" s="2"/>
      <c r="I33" s="2"/>
    </row>
    <row r="34" spans="1:9" s="10" customFormat="1" ht="18" customHeight="1">
      <c r="A34" s="93" t="s">
        <v>62</v>
      </c>
      <c r="B34" s="93"/>
      <c r="C34" s="93"/>
      <c r="D34" s="93"/>
      <c r="E34" s="93"/>
      <c r="F34" s="93"/>
      <c r="G34" s="93"/>
      <c r="H34" s="93"/>
      <c r="I34" s="93"/>
    </row>
    <row r="35" spans="1:9" s="10" customFormat="1" ht="9">
      <c r="A35" s="38" t="s">
        <v>2</v>
      </c>
      <c r="B35" s="70">
        <v>560</v>
      </c>
      <c r="C35" s="70">
        <v>950</v>
      </c>
      <c r="D35" s="70"/>
      <c r="E35" s="70">
        <v>600</v>
      </c>
      <c r="F35" s="70">
        <v>820</v>
      </c>
      <c r="G35" s="70"/>
      <c r="H35" s="70">
        <f>+B35+E35</f>
        <v>1160</v>
      </c>
      <c r="I35" s="70">
        <f>+C35+F35</f>
        <v>1770</v>
      </c>
    </row>
    <row r="36" spans="1:9" s="10" customFormat="1" ht="9">
      <c r="A36" s="38" t="s">
        <v>3</v>
      </c>
      <c r="B36" s="70">
        <v>1227</v>
      </c>
      <c r="C36" s="70">
        <v>4943</v>
      </c>
      <c r="D36" s="70"/>
      <c r="E36" s="70">
        <v>762</v>
      </c>
      <c r="F36" s="70">
        <v>2388</v>
      </c>
      <c r="G36" s="70"/>
      <c r="H36" s="70">
        <f aca="true" t="shared" si="2" ref="H36:H53">+B36+E36</f>
        <v>1989</v>
      </c>
      <c r="I36" s="70">
        <f aca="true" t="shared" si="3" ref="I36:I53">+C36+F36</f>
        <v>7331</v>
      </c>
    </row>
    <row r="37" spans="1:9" s="10" customFormat="1" ht="9">
      <c r="A37" s="38" t="s">
        <v>49</v>
      </c>
      <c r="B37" s="75">
        <f>SUM(B38:B39)</f>
        <v>0</v>
      </c>
      <c r="C37" s="75">
        <f>SUM(C38:C39)</f>
        <v>0</v>
      </c>
      <c r="D37" s="71"/>
      <c r="E37" s="75">
        <f>SUM(E38:E39)</f>
        <v>14</v>
      </c>
      <c r="F37" s="75">
        <f>SUM(F38:F39)</f>
        <v>115</v>
      </c>
      <c r="G37" s="71"/>
      <c r="H37" s="70">
        <f t="shared" si="2"/>
        <v>14</v>
      </c>
      <c r="I37" s="70">
        <f t="shared" si="3"/>
        <v>115</v>
      </c>
    </row>
    <row r="38" spans="1:9" s="10" customFormat="1" ht="9">
      <c r="A38" s="39" t="s">
        <v>21</v>
      </c>
      <c r="B38" s="75">
        <v>0</v>
      </c>
      <c r="C38" s="75">
        <v>0</v>
      </c>
      <c r="D38" s="71"/>
      <c r="E38" s="76">
        <v>5</v>
      </c>
      <c r="F38" s="76">
        <v>25</v>
      </c>
      <c r="G38" s="76"/>
      <c r="H38" s="77">
        <f t="shared" si="2"/>
        <v>5</v>
      </c>
      <c r="I38" s="77">
        <f t="shared" si="3"/>
        <v>25</v>
      </c>
    </row>
    <row r="39" spans="1:9" s="10" customFormat="1" ht="9">
      <c r="A39" s="39" t="s">
        <v>19</v>
      </c>
      <c r="B39" s="84">
        <v>0</v>
      </c>
      <c r="C39" s="84">
        <v>0</v>
      </c>
      <c r="D39" s="76"/>
      <c r="E39" s="76">
        <v>9</v>
      </c>
      <c r="F39" s="76">
        <v>90</v>
      </c>
      <c r="G39" s="76"/>
      <c r="H39" s="77">
        <f t="shared" si="2"/>
        <v>9</v>
      </c>
      <c r="I39" s="77">
        <f t="shared" si="3"/>
        <v>90</v>
      </c>
    </row>
    <row r="40" spans="1:9" ht="9" customHeight="1">
      <c r="A40" s="38" t="s">
        <v>17</v>
      </c>
      <c r="B40" s="70">
        <v>1405</v>
      </c>
      <c r="C40" s="70">
        <v>5917</v>
      </c>
      <c r="D40" s="70"/>
      <c r="E40" s="70">
        <v>830</v>
      </c>
      <c r="F40" s="70">
        <v>2833</v>
      </c>
      <c r="G40" s="70"/>
      <c r="H40" s="70">
        <f t="shared" si="2"/>
        <v>2235</v>
      </c>
      <c r="I40" s="70">
        <f t="shared" si="3"/>
        <v>8750</v>
      </c>
    </row>
    <row r="41" spans="1:9" ht="9" customHeight="1">
      <c r="A41" s="38" t="s">
        <v>48</v>
      </c>
      <c r="B41" s="70">
        <v>156</v>
      </c>
      <c r="C41" s="70">
        <v>420</v>
      </c>
      <c r="D41" s="70"/>
      <c r="E41" s="70">
        <v>2</v>
      </c>
      <c r="F41" s="70">
        <v>2</v>
      </c>
      <c r="G41" s="70"/>
      <c r="H41" s="70">
        <f t="shared" si="2"/>
        <v>158</v>
      </c>
      <c r="I41" s="70">
        <f t="shared" si="3"/>
        <v>422</v>
      </c>
    </row>
    <row r="42" spans="1:9" ht="9" customHeight="1">
      <c r="A42" s="38" t="s">
        <v>4</v>
      </c>
      <c r="B42" s="70">
        <v>8200</v>
      </c>
      <c r="C42" s="70">
        <v>64980</v>
      </c>
      <c r="D42" s="70"/>
      <c r="E42" s="70">
        <v>10600</v>
      </c>
      <c r="F42" s="70">
        <v>51790</v>
      </c>
      <c r="G42" s="70"/>
      <c r="H42" s="70">
        <f t="shared" si="2"/>
        <v>18800</v>
      </c>
      <c r="I42" s="70">
        <f t="shared" si="3"/>
        <v>116770</v>
      </c>
    </row>
    <row r="43" spans="1:9" ht="9" customHeight="1">
      <c r="A43" s="38" t="s">
        <v>44</v>
      </c>
      <c r="B43" s="70">
        <v>195</v>
      </c>
      <c r="C43" s="70">
        <v>690</v>
      </c>
      <c r="D43" s="70"/>
      <c r="E43" s="70">
        <v>1030</v>
      </c>
      <c r="F43" s="70">
        <v>1407</v>
      </c>
      <c r="G43" s="70"/>
      <c r="H43" s="70">
        <f t="shared" si="2"/>
        <v>1225</v>
      </c>
      <c r="I43" s="70">
        <f t="shared" si="3"/>
        <v>2097</v>
      </c>
    </row>
    <row r="44" spans="1:9" ht="9" customHeight="1">
      <c r="A44" s="38" t="s">
        <v>5</v>
      </c>
      <c r="B44" s="70">
        <v>520</v>
      </c>
      <c r="C44" s="70">
        <v>2600</v>
      </c>
      <c r="D44" s="70"/>
      <c r="E44" s="70">
        <v>2415</v>
      </c>
      <c r="F44" s="70">
        <v>13625</v>
      </c>
      <c r="G44" s="70"/>
      <c r="H44" s="70">
        <f t="shared" si="2"/>
        <v>2935</v>
      </c>
      <c r="I44" s="70">
        <f t="shared" si="3"/>
        <v>16225</v>
      </c>
    </row>
    <row r="45" spans="1:9" ht="9" customHeight="1">
      <c r="A45" s="38" t="s">
        <v>6</v>
      </c>
      <c r="B45" s="84">
        <v>0</v>
      </c>
      <c r="C45" s="84">
        <v>0</v>
      </c>
      <c r="D45" s="70"/>
      <c r="E45" s="70">
        <v>250</v>
      </c>
      <c r="F45" s="70">
        <v>1118</v>
      </c>
      <c r="G45" s="70"/>
      <c r="H45" s="70">
        <f t="shared" si="2"/>
        <v>250</v>
      </c>
      <c r="I45" s="70">
        <f t="shared" si="3"/>
        <v>1118</v>
      </c>
    </row>
    <row r="46" spans="1:9" ht="9" customHeight="1">
      <c r="A46" s="38" t="s">
        <v>7</v>
      </c>
      <c r="B46" s="84">
        <v>0</v>
      </c>
      <c r="C46" s="84">
        <v>0</v>
      </c>
      <c r="D46" s="70"/>
      <c r="E46" s="70">
        <v>60</v>
      </c>
      <c r="F46" s="70">
        <v>180</v>
      </c>
      <c r="G46" s="70"/>
      <c r="H46" s="70">
        <f t="shared" si="2"/>
        <v>60</v>
      </c>
      <c r="I46" s="70">
        <f t="shared" si="3"/>
        <v>180</v>
      </c>
    </row>
    <row r="47" spans="1:9" ht="9" customHeight="1">
      <c r="A47" s="38" t="s">
        <v>8</v>
      </c>
      <c r="B47" s="70">
        <v>4900</v>
      </c>
      <c r="C47" s="70">
        <v>5160</v>
      </c>
      <c r="D47" s="70"/>
      <c r="E47" s="70">
        <v>4800</v>
      </c>
      <c r="F47" s="70">
        <v>4808</v>
      </c>
      <c r="G47" s="70"/>
      <c r="H47" s="70">
        <f t="shared" si="2"/>
        <v>9700</v>
      </c>
      <c r="I47" s="70">
        <f t="shared" si="3"/>
        <v>9968</v>
      </c>
    </row>
    <row r="48" spans="1:9" ht="9" customHeight="1">
      <c r="A48" s="38" t="s">
        <v>9</v>
      </c>
      <c r="B48" s="70">
        <v>250</v>
      </c>
      <c r="C48" s="70">
        <v>150</v>
      </c>
      <c r="D48" s="70"/>
      <c r="E48" s="84">
        <v>0</v>
      </c>
      <c r="F48" s="84">
        <v>0</v>
      </c>
      <c r="G48" s="70"/>
      <c r="H48" s="70">
        <f t="shared" si="2"/>
        <v>250</v>
      </c>
      <c r="I48" s="70">
        <f t="shared" si="3"/>
        <v>150</v>
      </c>
    </row>
    <row r="49" spans="1:9" ht="9" customHeight="1">
      <c r="A49" s="38" t="s">
        <v>10</v>
      </c>
      <c r="B49" s="70">
        <v>19720</v>
      </c>
      <c r="C49" s="70">
        <v>84300</v>
      </c>
      <c r="D49" s="70"/>
      <c r="E49" s="70">
        <v>3050</v>
      </c>
      <c r="F49" s="70">
        <v>10425</v>
      </c>
      <c r="G49" s="70"/>
      <c r="H49" s="70">
        <f t="shared" si="2"/>
        <v>22770</v>
      </c>
      <c r="I49" s="70">
        <f t="shared" si="3"/>
        <v>94725</v>
      </c>
    </row>
    <row r="50" spans="1:9" ht="9" customHeight="1">
      <c r="A50" s="38" t="s">
        <v>11</v>
      </c>
      <c r="B50" s="70">
        <v>5500</v>
      </c>
      <c r="C50" s="70">
        <v>29970</v>
      </c>
      <c r="D50" s="70"/>
      <c r="E50" s="70">
        <v>200</v>
      </c>
      <c r="F50" s="70">
        <v>720</v>
      </c>
      <c r="G50" s="70"/>
      <c r="H50" s="70">
        <f t="shared" si="2"/>
        <v>5700</v>
      </c>
      <c r="I50" s="70">
        <f t="shared" si="3"/>
        <v>30690</v>
      </c>
    </row>
    <row r="51" spans="1:9" ht="9" customHeight="1">
      <c r="A51" s="38" t="s">
        <v>12</v>
      </c>
      <c r="B51" s="70">
        <v>50</v>
      </c>
      <c r="C51" s="70">
        <v>170</v>
      </c>
      <c r="D51" s="70"/>
      <c r="E51" s="70">
        <v>400</v>
      </c>
      <c r="F51" s="70">
        <v>1300</v>
      </c>
      <c r="G51" s="70"/>
      <c r="H51" s="70">
        <f t="shared" si="2"/>
        <v>450</v>
      </c>
      <c r="I51" s="70">
        <f t="shared" si="3"/>
        <v>1470</v>
      </c>
    </row>
    <row r="52" spans="1:9" ht="9" customHeight="1">
      <c r="A52" s="38" t="s">
        <v>13</v>
      </c>
      <c r="B52" s="70">
        <v>8960</v>
      </c>
      <c r="C52" s="70">
        <v>26040</v>
      </c>
      <c r="D52" s="70"/>
      <c r="E52" s="70">
        <v>1320</v>
      </c>
      <c r="F52" s="70">
        <v>3490</v>
      </c>
      <c r="G52" s="70"/>
      <c r="H52" s="70">
        <f t="shared" si="2"/>
        <v>10280</v>
      </c>
      <c r="I52" s="70">
        <f t="shared" si="3"/>
        <v>29530</v>
      </c>
    </row>
    <row r="53" spans="1:9" ht="9" customHeight="1">
      <c r="A53" s="38" t="s">
        <v>14</v>
      </c>
      <c r="B53" s="70">
        <v>350</v>
      </c>
      <c r="C53" s="70">
        <v>1060</v>
      </c>
      <c r="D53" s="70"/>
      <c r="E53" s="84">
        <v>0</v>
      </c>
      <c r="F53" s="84">
        <v>0</v>
      </c>
      <c r="G53" s="70"/>
      <c r="H53" s="70">
        <f t="shared" si="2"/>
        <v>350</v>
      </c>
      <c r="I53" s="70">
        <f t="shared" si="3"/>
        <v>1060</v>
      </c>
    </row>
    <row r="54" spans="1:9" ht="9" customHeight="1">
      <c r="A54" s="41" t="s">
        <v>15</v>
      </c>
      <c r="B54" s="81">
        <f>SUM(B35:B53)-B37</f>
        <v>51993</v>
      </c>
      <c r="C54" s="81">
        <f aca="true" t="shared" si="4" ref="C54:I54">SUM(C35:C53)-C37</f>
        <v>227350</v>
      </c>
      <c r="D54" s="81"/>
      <c r="E54" s="81">
        <f t="shared" si="4"/>
        <v>26333</v>
      </c>
      <c r="F54" s="81">
        <f t="shared" si="4"/>
        <v>95021</v>
      </c>
      <c r="G54" s="81"/>
      <c r="H54" s="81">
        <f t="shared" si="4"/>
        <v>78326</v>
      </c>
      <c r="I54" s="81">
        <f t="shared" si="4"/>
        <v>322371</v>
      </c>
    </row>
    <row r="55" spans="1:9" ht="9" customHeight="1">
      <c r="A55" s="41" t="s">
        <v>54</v>
      </c>
      <c r="B55" s="83">
        <f>SUM(B35:B43)-B37</f>
        <v>11743</v>
      </c>
      <c r="C55" s="83">
        <f aca="true" t="shared" si="5" ref="C55:I55">SUM(C35:C43)-C37</f>
        <v>77900</v>
      </c>
      <c r="D55" s="83"/>
      <c r="E55" s="83">
        <f t="shared" si="5"/>
        <v>13838</v>
      </c>
      <c r="F55" s="83">
        <f t="shared" si="5"/>
        <v>59355</v>
      </c>
      <c r="G55" s="83"/>
      <c r="H55" s="83">
        <f t="shared" si="5"/>
        <v>25581</v>
      </c>
      <c r="I55" s="83">
        <f t="shared" si="5"/>
        <v>137255</v>
      </c>
    </row>
    <row r="56" spans="1:9" ht="9" customHeight="1">
      <c r="A56" s="41" t="s">
        <v>53</v>
      </c>
      <c r="B56" s="83">
        <f>SUM(B44:B47)</f>
        <v>5420</v>
      </c>
      <c r="C56" s="83">
        <f aca="true" t="shared" si="6" ref="C56:I56">SUM(C44:C47)</f>
        <v>7760</v>
      </c>
      <c r="D56" s="83"/>
      <c r="E56" s="83">
        <f t="shared" si="6"/>
        <v>7525</v>
      </c>
      <c r="F56" s="83">
        <f t="shared" si="6"/>
        <v>19731</v>
      </c>
      <c r="G56" s="83"/>
      <c r="H56" s="83">
        <f t="shared" si="6"/>
        <v>12945</v>
      </c>
      <c r="I56" s="83">
        <f t="shared" si="6"/>
        <v>27491</v>
      </c>
    </row>
    <row r="57" spans="1:9" ht="9" customHeight="1">
      <c r="A57" s="41" t="s">
        <v>39</v>
      </c>
      <c r="B57" s="83">
        <f>SUM(B48:B53)</f>
        <v>34830</v>
      </c>
      <c r="C57" s="83">
        <f aca="true" t="shared" si="7" ref="C57:I57">SUM(C48:C53)</f>
        <v>141690</v>
      </c>
      <c r="D57" s="83"/>
      <c r="E57" s="83">
        <f t="shared" si="7"/>
        <v>4970</v>
      </c>
      <c r="F57" s="83">
        <f t="shared" si="7"/>
        <v>15935</v>
      </c>
      <c r="G57" s="83"/>
      <c r="H57" s="83">
        <f t="shared" si="7"/>
        <v>39800</v>
      </c>
      <c r="I57" s="83">
        <f t="shared" si="7"/>
        <v>157625</v>
      </c>
    </row>
    <row r="58" spans="1:9" ht="9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="3" customFormat="1" ht="10.5" customHeight="1"/>
    <row r="60" s="3" customFormat="1" ht="10.5" customHeight="1"/>
  </sheetData>
  <mergeCells count="6">
    <mergeCell ref="A34:I34"/>
    <mergeCell ref="A5:A6"/>
    <mergeCell ref="H5:I5"/>
    <mergeCell ref="B5:C5"/>
    <mergeCell ref="E5:F5"/>
    <mergeCell ref="A8:I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80"/>
  <sheetViews>
    <sheetView workbookViewId="0" topLeftCell="A1">
      <selection activeCell="K18" sqref="K18"/>
    </sheetView>
  </sheetViews>
  <sheetFormatPr defaultColWidth="9.140625" defaultRowHeight="12.75"/>
  <cols>
    <col min="1" max="1" width="17.8515625" style="20" customWidth="1"/>
    <col min="2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4.00390625" style="20" customWidth="1"/>
    <col min="11" max="11" width="13.140625" style="20" customWidth="1"/>
    <col min="12" max="13" width="9.140625" style="20" customWidth="1"/>
    <col min="14" max="14" width="9.8515625" style="20" bestFit="1" customWidth="1"/>
    <col min="15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spans="1:16" s="3" customFormat="1" ht="12" customHeight="1">
      <c r="A8" s="93" t="s">
        <v>22</v>
      </c>
      <c r="B8" s="93"/>
      <c r="C8" s="93"/>
      <c r="D8" s="93"/>
      <c r="E8" s="93"/>
      <c r="F8" s="93"/>
      <c r="G8" s="93"/>
      <c r="H8" s="93"/>
      <c r="I8" s="93"/>
      <c r="J8" s="60"/>
      <c r="K8" s="60"/>
      <c r="L8" s="60"/>
      <c r="M8" s="60"/>
      <c r="N8" s="60"/>
      <c r="O8" s="60"/>
      <c r="P8" s="60"/>
    </row>
    <row r="9" spans="10:16" s="3" customFormat="1" ht="9" customHeight="1">
      <c r="J9" s="60"/>
      <c r="K9" s="60"/>
      <c r="L9" s="60"/>
      <c r="M9" s="60"/>
      <c r="N9" s="60"/>
      <c r="O9" s="60"/>
      <c r="P9" s="60"/>
    </row>
    <row r="10" spans="1:16" s="3" customFormat="1" ht="9" customHeight="1">
      <c r="A10" s="38" t="s">
        <v>2</v>
      </c>
      <c r="B10" s="2">
        <v>200</v>
      </c>
      <c r="C10" s="2">
        <v>600</v>
      </c>
      <c r="D10" s="2"/>
      <c r="E10" s="2" t="s">
        <v>55</v>
      </c>
      <c r="F10" s="2" t="s">
        <v>55</v>
      </c>
      <c r="G10" s="2"/>
      <c r="H10" s="2">
        <v>200</v>
      </c>
      <c r="I10" s="2">
        <v>600</v>
      </c>
      <c r="J10" s="60"/>
      <c r="K10" s="60"/>
      <c r="L10" s="60"/>
      <c r="M10" s="60"/>
      <c r="N10" s="60"/>
      <c r="O10" s="60"/>
      <c r="P10" s="60"/>
    </row>
    <row r="11" spans="1:16" s="3" customFormat="1" ht="9" customHeight="1">
      <c r="A11" s="38" t="s">
        <v>3</v>
      </c>
      <c r="B11" s="2">
        <v>50</v>
      </c>
      <c r="C11" s="2">
        <v>180</v>
      </c>
      <c r="D11" s="2"/>
      <c r="E11" s="2">
        <v>100</v>
      </c>
      <c r="F11" s="2">
        <v>220</v>
      </c>
      <c r="G11" s="2"/>
      <c r="H11" s="2">
        <v>150</v>
      </c>
      <c r="I11" s="2">
        <v>400</v>
      </c>
      <c r="J11" s="60"/>
      <c r="K11" s="60"/>
      <c r="L11" s="60"/>
      <c r="M11" s="60"/>
      <c r="N11" s="60"/>
      <c r="O11" s="60"/>
      <c r="P11" s="60"/>
    </row>
    <row r="12" spans="1:16" s="3" customFormat="1" ht="9" customHeight="1">
      <c r="A12" s="37" t="s">
        <v>38</v>
      </c>
      <c r="B12" s="2">
        <f>SUM(B13)</f>
        <v>2</v>
      </c>
      <c r="C12" s="2">
        <f>SUM(C13)</f>
        <v>15</v>
      </c>
      <c r="D12" s="2"/>
      <c r="E12" s="2">
        <f>SUM(E13)</f>
        <v>0</v>
      </c>
      <c r="F12" s="2">
        <v>0</v>
      </c>
      <c r="G12" s="2"/>
      <c r="H12" s="2">
        <f>SUM(H13)</f>
        <v>2</v>
      </c>
      <c r="I12" s="2">
        <f>SUM(I13)</f>
        <v>15</v>
      </c>
      <c r="J12" s="60"/>
      <c r="K12" s="60"/>
      <c r="L12" s="60"/>
      <c r="M12" s="60"/>
      <c r="N12" s="60"/>
      <c r="O12" s="60"/>
      <c r="P12" s="60"/>
    </row>
    <row r="13" spans="1:16" s="3" customFormat="1" ht="9" customHeight="1">
      <c r="A13" s="40" t="s">
        <v>21</v>
      </c>
      <c r="B13" s="11">
        <v>2</v>
      </c>
      <c r="C13" s="11">
        <v>15</v>
      </c>
      <c r="D13" s="11"/>
      <c r="E13" s="2" t="s">
        <v>55</v>
      </c>
      <c r="F13" s="2" t="s">
        <v>55</v>
      </c>
      <c r="G13" s="11"/>
      <c r="H13" s="11">
        <v>2</v>
      </c>
      <c r="I13" s="11">
        <v>15</v>
      </c>
      <c r="J13" s="60"/>
      <c r="K13" s="60"/>
      <c r="L13" s="60"/>
      <c r="M13" s="60"/>
      <c r="N13" s="60"/>
      <c r="O13" s="60"/>
      <c r="P13" s="60"/>
    </row>
    <row r="14" spans="1:16" s="3" customFormat="1" ht="9" customHeight="1">
      <c r="A14" s="38" t="s">
        <v>17</v>
      </c>
      <c r="B14" s="2">
        <v>250</v>
      </c>
      <c r="C14" s="2">
        <v>675</v>
      </c>
      <c r="D14" s="2"/>
      <c r="E14" s="2" t="s">
        <v>55</v>
      </c>
      <c r="F14" s="2" t="s">
        <v>55</v>
      </c>
      <c r="G14" s="2"/>
      <c r="H14" s="2">
        <v>250</v>
      </c>
      <c r="I14" s="2">
        <v>675</v>
      </c>
      <c r="J14" s="60"/>
      <c r="K14" s="60"/>
      <c r="L14" s="60"/>
      <c r="M14" s="60"/>
      <c r="N14" s="60"/>
      <c r="O14" s="60"/>
      <c r="P14" s="60"/>
    </row>
    <row r="15" spans="1:16" s="3" customFormat="1" ht="9" customHeight="1">
      <c r="A15" s="37" t="s">
        <v>40</v>
      </c>
      <c r="B15" s="2">
        <v>90</v>
      </c>
      <c r="C15" s="2">
        <v>540</v>
      </c>
      <c r="D15" s="2"/>
      <c r="E15" s="2" t="s">
        <v>55</v>
      </c>
      <c r="F15" s="2" t="s">
        <v>55</v>
      </c>
      <c r="G15" s="2"/>
      <c r="H15" s="2">
        <v>90</v>
      </c>
      <c r="I15" s="2">
        <v>540</v>
      </c>
      <c r="J15" s="60"/>
      <c r="K15" s="60"/>
      <c r="L15" s="60"/>
      <c r="M15" s="60"/>
      <c r="N15" s="60"/>
      <c r="O15" s="60"/>
      <c r="P15" s="60"/>
    </row>
    <row r="16" spans="1:16" s="3" customFormat="1" ht="9" customHeight="1">
      <c r="A16" s="38" t="s">
        <v>4</v>
      </c>
      <c r="B16" s="2">
        <v>900</v>
      </c>
      <c r="C16" s="2">
        <v>6480</v>
      </c>
      <c r="D16" s="2"/>
      <c r="E16" s="2">
        <v>50</v>
      </c>
      <c r="F16" s="2">
        <v>350</v>
      </c>
      <c r="G16" s="2"/>
      <c r="H16" s="2">
        <v>950</v>
      </c>
      <c r="I16" s="2">
        <v>6830</v>
      </c>
      <c r="J16" s="60"/>
      <c r="K16" s="60"/>
      <c r="L16" s="60"/>
      <c r="M16" s="60"/>
      <c r="N16" s="60"/>
      <c r="O16" s="60"/>
      <c r="P16" s="60"/>
    </row>
    <row r="17" spans="1:16" s="3" customFormat="1" ht="9">
      <c r="A17" s="38" t="s">
        <v>5</v>
      </c>
      <c r="B17" s="2">
        <v>1990</v>
      </c>
      <c r="C17" s="2">
        <v>20172</v>
      </c>
      <c r="D17" s="2"/>
      <c r="E17" s="2">
        <v>250</v>
      </c>
      <c r="F17" s="2">
        <v>1000</v>
      </c>
      <c r="G17" s="2"/>
      <c r="H17" s="2">
        <v>2240</v>
      </c>
      <c r="I17" s="2">
        <v>21172</v>
      </c>
      <c r="J17" s="60"/>
      <c r="K17" s="60"/>
      <c r="L17" s="60"/>
      <c r="M17" s="60"/>
      <c r="N17" s="60"/>
      <c r="O17" s="60"/>
      <c r="P17" s="60"/>
    </row>
    <row r="18" spans="1:16" s="3" customFormat="1" ht="9">
      <c r="A18" s="38" t="s">
        <v>6</v>
      </c>
      <c r="B18" s="2">
        <v>50</v>
      </c>
      <c r="C18" s="2">
        <v>100</v>
      </c>
      <c r="D18" s="2"/>
      <c r="E18" s="2" t="s">
        <v>55</v>
      </c>
      <c r="F18" s="2" t="s">
        <v>55</v>
      </c>
      <c r="G18" s="2"/>
      <c r="H18" s="2">
        <v>50</v>
      </c>
      <c r="I18" s="2">
        <v>100</v>
      </c>
      <c r="J18" s="60"/>
      <c r="K18" s="60"/>
      <c r="L18" s="60"/>
      <c r="M18" s="60"/>
      <c r="N18" s="60"/>
      <c r="O18" s="60"/>
      <c r="P18" s="60"/>
    </row>
    <row r="19" spans="1:16" s="3" customFormat="1" ht="9">
      <c r="A19" s="38" t="s">
        <v>7</v>
      </c>
      <c r="B19" s="2">
        <v>120</v>
      </c>
      <c r="C19" s="2">
        <v>144</v>
      </c>
      <c r="D19" s="2"/>
      <c r="E19" s="2" t="s">
        <v>55</v>
      </c>
      <c r="F19" s="2" t="s">
        <v>55</v>
      </c>
      <c r="G19" s="2"/>
      <c r="H19" s="2">
        <v>120</v>
      </c>
      <c r="I19" s="2">
        <v>144</v>
      </c>
      <c r="J19" s="60"/>
      <c r="K19" s="60"/>
      <c r="L19" s="60"/>
      <c r="M19" s="60"/>
      <c r="N19" s="60"/>
      <c r="O19" s="60"/>
      <c r="P19" s="60"/>
    </row>
    <row r="20" spans="1:16" s="3" customFormat="1" ht="9">
      <c r="A20" s="38" t="s">
        <v>8</v>
      </c>
      <c r="B20" s="2">
        <v>1000</v>
      </c>
      <c r="C20" s="2">
        <v>5440</v>
      </c>
      <c r="D20" s="2"/>
      <c r="E20" s="2" t="s">
        <v>55</v>
      </c>
      <c r="F20" s="2" t="s">
        <v>55</v>
      </c>
      <c r="G20" s="2"/>
      <c r="H20" s="2">
        <v>1000</v>
      </c>
      <c r="I20" s="2">
        <v>5440</v>
      </c>
      <c r="J20" s="60"/>
      <c r="K20" s="60"/>
      <c r="L20" s="60"/>
      <c r="M20" s="60"/>
      <c r="N20" s="60"/>
      <c r="O20" s="60"/>
      <c r="P20" s="60"/>
    </row>
    <row r="21" spans="1:16" s="3" customFormat="1" ht="9">
      <c r="A21" s="38" t="s">
        <v>9</v>
      </c>
      <c r="B21" s="2">
        <v>95</v>
      </c>
      <c r="C21" s="2">
        <v>758</v>
      </c>
      <c r="D21" s="2"/>
      <c r="E21" s="2">
        <v>20</v>
      </c>
      <c r="F21" s="2">
        <v>72</v>
      </c>
      <c r="G21" s="2"/>
      <c r="H21" s="2">
        <v>115</v>
      </c>
      <c r="I21" s="2">
        <v>830</v>
      </c>
      <c r="J21" s="60"/>
      <c r="K21" s="60"/>
      <c r="L21" s="60"/>
      <c r="M21" s="60"/>
      <c r="N21" s="60"/>
      <c r="O21" s="60"/>
      <c r="P21" s="60"/>
    </row>
    <row r="22" spans="1:16" s="3" customFormat="1" ht="9">
      <c r="A22" s="38" t="s">
        <v>10</v>
      </c>
      <c r="B22" s="2">
        <v>1600</v>
      </c>
      <c r="C22" s="2">
        <v>4900</v>
      </c>
      <c r="D22" s="2"/>
      <c r="E22" s="2">
        <v>550</v>
      </c>
      <c r="F22" s="2">
        <v>1420</v>
      </c>
      <c r="G22" s="2"/>
      <c r="H22" s="2">
        <v>2150</v>
      </c>
      <c r="I22" s="2">
        <v>6320</v>
      </c>
      <c r="J22" s="60"/>
      <c r="K22" s="60"/>
      <c r="L22" s="61"/>
      <c r="M22" s="60"/>
      <c r="N22" s="60"/>
      <c r="O22" s="60"/>
      <c r="P22" s="61"/>
    </row>
    <row r="23" spans="1:16" s="3" customFormat="1" ht="9">
      <c r="A23" s="38" t="s">
        <v>11</v>
      </c>
      <c r="B23" s="2">
        <v>2600</v>
      </c>
      <c r="C23" s="2">
        <v>17555</v>
      </c>
      <c r="D23" s="2"/>
      <c r="E23" s="2" t="s">
        <v>55</v>
      </c>
      <c r="F23" s="2" t="s">
        <v>55</v>
      </c>
      <c r="G23" s="2"/>
      <c r="H23" s="2">
        <v>2600</v>
      </c>
      <c r="I23" s="2">
        <v>17555</v>
      </c>
      <c r="J23" s="60"/>
      <c r="K23" s="60"/>
      <c r="L23" s="60"/>
      <c r="M23" s="60"/>
      <c r="N23" s="60"/>
      <c r="O23" s="60"/>
      <c r="P23" s="60"/>
    </row>
    <row r="24" spans="1:16" s="3" customFormat="1" ht="9">
      <c r="A24" s="38" t="s">
        <v>12</v>
      </c>
      <c r="B24" s="2">
        <v>15</v>
      </c>
      <c r="C24" s="2">
        <v>53</v>
      </c>
      <c r="D24" s="2"/>
      <c r="E24" s="2" t="s">
        <v>55</v>
      </c>
      <c r="F24" s="2" t="s">
        <v>55</v>
      </c>
      <c r="G24" s="2"/>
      <c r="H24" s="2">
        <v>15</v>
      </c>
      <c r="I24" s="2">
        <v>53</v>
      </c>
      <c r="J24" s="60"/>
      <c r="K24" s="61"/>
      <c r="L24" s="61"/>
      <c r="M24" s="60"/>
      <c r="N24" s="61"/>
      <c r="O24" s="61"/>
      <c r="P24" s="61"/>
    </row>
    <row r="25" spans="1:16" ht="9" customHeight="1">
      <c r="A25" s="38" t="s">
        <v>13</v>
      </c>
      <c r="B25" s="2">
        <v>475</v>
      </c>
      <c r="C25" s="2">
        <v>3175</v>
      </c>
      <c r="D25" s="2"/>
      <c r="E25" s="2">
        <v>150</v>
      </c>
      <c r="F25" s="2">
        <v>1200</v>
      </c>
      <c r="G25" s="2"/>
      <c r="H25" s="2">
        <v>625</v>
      </c>
      <c r="I25" s="2">
        <v>4375</v>
      </c>
      <c r="J25" s="60"/>
      <c r="K25" s="60"/>
      <c r="L25" s="60"/>
      <c r="M25" s="60"/>
      <c r="N25" s="60"/>
      <c r="O25" s="60"/>
      <c r="P25" s="60"/>
    </row>
    <row r="26" spans="1:16" ht="9" customHeight="1">
      <c r="A26" s="38" t="s">
        <v>14</v>
      </c>
      <c r="B26" s="2">
        <v>210</v>
      </c>
      <c r="C26" s="2">
        <v>1750</v>
      </c>
      <c r="D26" s="2"/>
      <c r="E26" s="2" t="s">
        <v>55</v>
      </c>
      <c r="F26" s="2" t="s">
        <v>55</v>
      </c>
      <c r="G26" s="2"/>
      <c r="H26" s="2">
        <v>210</v>
      </c>
      <c r="I26" s="2">
        <v>1750</v>
      </c>
      <c r="J26" s="60"/>
      <c r="K26" s="60"/>
      <c r="L26" s="60"/>
      <c r="M26" s="60"/>
      <c r="N26" s="60"/>
      <c r="O26" s="60"/>
      <c r="P26" s="60"/>
    </row>
    <row r="27" spans="1:16" s="3" customFormat="1" ht="9" customHeight="1">
      <c r="A27" s="32" t="s">
        <v>15</v>
      </c>
      <c r="B27" s="29">
        <f aca="true" t="shared" si="0" ref="B27:I27">SUM(B10:B26)-B12</f>
        <v>9647</v>
      </c>
      <c r="C27" s="29">
        <f t="shared" si="0"/>
        <v>62537</v>
      </c>
      <c r="D27" s="29"/>
      <c r="E27" s="29">
        <f t="shared" si="0"/>
        <v>1120</v>
      </c>
      <c r="F27" s="29">
        <f t="shared" si="0"/>
        <v>4262</v>
      </c>
      <c r="G27" s="29"/>
      <c r="H27" s="29">
        <f t="shared" si="0"/>
        <v>10767</v>
      </c>
      <c r="I27" s="29">
        <f t="shared" si="0"/>
        <v>66799</v>
      </c>
      <c r="J27" s="60"/>
      <c r="K27" s="61"/>
      <c r="L27" s="61"/>
      <c r="M27" s="60"/>
      <c r="N27" s="60"/>
      <c r="O27" s="61"/>
      <c r="P27" s="61"/>
    </row>
    <row r="28" spans="1:16" s="3" customFormat="1" ht="9" customHeight="1">
      <c r="A28" s="32" t="s">
        <v>54</v>
      </c>
      <c r="B28" s="29">
        <f>SUM(B10:B16)-B12</f>
        <v>1492</v>
      </c>
      <c r="C28" s="29">
        <f>SUM(C10:C16)-C12</f>
        <v>8490</v>
      </c>
      <c r="D28" s="29"/>
      <c r="E28" s="29">
        <f>SUM(E10:E16)-E12</f>
        <v>150</v>
      </c>
      <c r="F28" s="29">
        <f>SUM(F10:F16)-F12</f>
        <v>570</v>
      </c>
      <c r="G28" s="29"/>
      <c r="H28" s="29">
        <f>SUM(H10:H16)-H12</f>
        <v>1642</v>
      </c>
      <c r="I28" s="29">
        <f>SUM(I10:I16)-I12</f>
        <v>9060</v>
      </c>
      <c r="J28" s="60"/>
      <c r="K28" s="60"/>
      <c r="L28" s="60"/>
      <c r="M28" s="60"/>
      <c r="N28" s="60"/>
      <c r="O28" s="60"/>
      <c r="P28" s="60"/>
    </row>
    <row r="29" spans="1:16" s="3" customFormat="1" ht="9" customHeight="1">
      <c r="A29" s="32" t="s">
        <v>53</v>
      </c>
      <c r="B29" s="29">
        <f>SUM(B17:B20)</f>
        <v>3160</v>
      </c>
      <c r="C29" s="29">
        <f>SUM(C17:C20)</f>
        <v>25856</v>
      </c>
      <c r="D29" s="29"/>
      <c r="E29" s="29">
        <f>SUM(E17:E20)</f>
        <v>250</v>
      </c>
      <c r="F29" s="29">
        <f>SUM(F17:F20)</f>
        <v>1000</v>
      </c>
      <c r="G29" s="29"/>
      <c r="H29" s="29">
        <f>SUM(H17:H20)</f>
        <v>3410</v>
      </c>
      <c r="I29" s="29">
        <f>SUM(I17:I20)</f>
        <v>26856</v>
      </c>
      <c r="J29" s="60"/>
      <c r="K29" s="61"/>
      <c r="L29" s="61"/>
      <c r="M29" s="60"/>
      <c r="N29" s="61"/>
      <c r="O29" s="61"/>
      <c r="P29" s="61"/>
    </row>
    <row r="30" spans="1:16" s="3" customFormat="1" ht="9" customHeight="1">
      <c r="A30" s="88" t="s">
        <v>39</v>
      </c>
      <c r="B30" s="9">
        <f>SUM(B21:B26)</f>
        <v>4995</v>
      </c>
      <c r="C30" s="9">
        <f>SUM(C21:C26)</f>
        <v>28191</v>
      </c>
      <c r="D30" s="9"/>
      <c r="E30" s="9">
        <f>SUM(E21:E26)</f>
        <v>720</v>
      </c>
      <c r="F30" s="9">
        <f>SUM(F21:F26)</f>
        <v>2692</v>
      </c>
      <c r="G30" s="9"/>
      <c r="H30" s="9">
        <f>SUM(H21:H26)</f>
        <v>5715</v>
      </c>
      <c r="I30" s="9">
        <f>SUM(I21:I26)</f>
        <v>30883</v>
      </c>
      <c r="J30" s="60"/>
      <c r="K30" s="61"/>
      <c r="L30" s="61"/>
      <c r="M30" s="60"/>
      <c r="N30" s="60"/>
      <c r="O30" s="61"/>
      <c r="P30" s="61"/>
    </row>
    <row r="31" spans="1:16" s="3" customFormat="1" ht="9" customHeight="1">
      <c r="A31" s="50"/>
      <c r="B31" s="9"/>
      <c r="C31" s="9"/>
      <c r="D31" s="9"/>
      <c r="E31" s="9"/>
      <c r="F31" s="9"/>
      <c r="G31" s="9"/>
      <c r="H31" s="9"/>
      <c r="I31" s="9"/>
      <c r="J31" s="60"/>
      <c r="K31" s="61"/>
      <c r="L31" s="61"/>
      <c r="M31" s="60"/>
      <c r="N31" s="60"/>
      <c r="O31" s="61"/>
      <c r="P31" s="61"/>
    </row>
    <row r="32" spans="1:16" ht="12" customHeight="1">
      <c r="A32" s="93" t="s">
        <v>34</v>
      </c>
      <c r="B32" s="93"/>
      <c r="C32" s="93"/>
      <c r="D32" s="93"/>
      <c r="E32" s="93"/>
      <c r="F32" s="93"/>
      <c r="G32" s="93"/>
      <c r="H32" s="93"/>
      <c r="I32" s="93"/>
      <c r="J32" s="60"/>
      <c r="K32" s="60"/>
      <c r="L32" s="60"/>
      <c r="M32" s="60"/>
      <c r="N32" s="60"/>
      <c r="O32" s="60"/>
      <c r="P32" s="60"/>
    </row>
    <row r="33" spans="1:16" ht="9" customHeight="1">
      <c r="A33" s="8"/>
      <c r="B33" s="8"/>
      <c r="C33" s="8"/>
      <c r="D33" s="8"/>
      <c r="E33" s="8"/>
      <c r="F33" s="8"/>
      <c r="G33" s="8"/>
      <c r="H33" s="8"/>
      <c r="I33" s="8"/>
      <c r="J33" s="60"/>
      <c r="K33" s="60"/>
      <c r="L33" s="61"/>
      <c r="M33" s="60"/>
      <c r="N33" s="61"/>
      <c r="O33" s="60"/>
      <c r="P33" s="61"/>
    </row>
    <row r="34" spans="2:16" ht="9" customHeight="1">
      <c r="B34" s="8"/>
      <c r="C34" s="8"/>
      <c r="D34" s="8"/>
      <c r="E34" s="8"/>
      <c r="F34" s="8"/>
      <c r="G34" s="8"/>
      <c r="H34" s="8"/>
      <c r="I34" s="8"/>
      <c r="J34" s="60"/>
      <c r="K34" s="60"/>
      <c r="L34" s="61"/>
      <c r="M34" s="60"/>
      <c r="N34" s="60"/>
      <c r="O34" s="60"/>
      <c r="P34" s="61"/>
    </row>
    <row r="35" spans="1:16" s="3" customFormat="1" ht="9" customHeight="1">
      <c r="A35" s="37" t="s">
        <v>2</v>
      </c>
      <c r="B35" s="5">
        <f>788+750</f>
        <v>1538</v>
      </c>
      <c r="C35" s="5">
        <f>1484+1380</f>
        <v>2864</v>
      </c>
      <c r="D35" s="21"/>
      <c r="E35" s="5">
        <f>2540+2000</f>
        <v>4540</v>
      </c>
      <c r="F35" s="5">
        <f>3580+3200</f>
        <v>6780</v>
      </c>
      <c r="G35" s="21"/>
      <c r="H35" s="5">
        <f aca="true" t="shared" si="1" ref="H35:I37">+B35+E35</f>
        <v>6078</v>
      </c>
      <c r="I35" s="5">
        <f t="shared" si="1"/>
        <v>9644</v>
      </c>
      <c r="J35" s="60"/>
      <c r="K35" s="61"/>
      <c r="L35" s="61"/>
      <c r="M35" s="61"/>
      <c r="N35" s="61"/>
      <c r="O35" s="61"/>
      <c r="P35" s="61"/>
    </row>
    <row r="36" spans="1:9" s="3" customFormat="1" ht="9" customHeight="1">
      <c r="A36" s="37" t="s">
        <v>46</v>
      </c>
      <c r="B36" s="5">
        <f>180+110</f>
        <v>290</v>
      </c>
      <c r="C36" s="5">
        <f>700+350</f>
        <v>1050</v>
      </c>
      <c r="D36" s="21"/>
      <c r="E36" s="5">
        <v>0</v>
      </c>
      <c r="F36" s="5">
        <v>0</v>
      </c>
      <c r="G36" s="21"/>
      <c r="H36" s="5">
        <f t="shared" si="1"/>
        <v>290</v>
      </c>
      <c r="I36" s="5">
        <f t="shared" si="1"/>
        <v>1050</v>
      </c>
    </row>
    <row r="37" spans="1:9" s="3" customFormat="1" ht="9" customHeight="1">
      <c r="A37" s="37" t="s">
        <v>3</v>
      </c>
      <c r="B37" s="5">
        <f>4805+1467</f>
        <v>6272</v>
      </c>
      <c r="C37" s="5">
        <f>11409+4315</f>
        <v>15724</v>
      </c>
      <c r="D37" s="21"/>
      <c r="E37" s="5">
        <f>1590+1500</f>
        <v>3090</v>
      </c>
      <c r="F37" s="5">
        <f>4051+3426</f>
        <v>7477</v>
      </c>
      <c r="G37" s="21"/>
      <c r="H37" s="5">
        <f t="shared" si="1"/>
        <v>9362</v>
      </c>
      <c r="I37" s="5">
        <f t="shared" si="1"/>
        <v>23201</v>
      </c>
    </row>
    <row r="38" spans="1:9" s="3" customFormat="1" ht="9" customHeight="1">
      <c r="A38" s="37" t="s">
        <v>38</v>
      </c>
      <c r="B38" s="2">
        <f>SUM(B39)</f>
        <v>30</v>
      </c>
      <c r="C38" s="2">
        <f>SUM(C39)</f>
        <v>19</v>
      </c>
      <c r="D38" s="2"/>
      <c r="E38" s="2">
        <f>SUM(E39)</f>
        <v>60</v>
      </c>
      <c r="F38" s="2">
        <f>SUM(F39)</f>
        <v>38</v>
      </c>
      <c r="G38" s="2"/>
      <c r="H38" s="2">
        <f>SUM(H39)</f>
        <v>90</v>
      </c>
      <c r="I38" s="2">
        <f>SUM(I39)</f>
        <v>57</v>
      </c>
    </row>
    <row r="39" spans="1:9" s="10" customFormat="1" ht="9" customHeight="1">
      <c r="A39" s="40" t="s">
        <v>19</v>
      </c>
      <c r="B39" s="11">
        <f>10+20</f>
        <v>30</v>
      </c>
      <c r="C39" s="11">
        <f>5+14</f>
        <v>19</v>
      </c>
      <c r="D39" s="11"/>
      <c r="E39" s="11">
        <f>20+40</f>
        <v>60</v>
      </c>
      <c r="F39" s="11">
        <f>10+28</f>
        <v>38</v>
      </c>
      <c r="G39" s="11"/>
      <c r="H39" s="79">
        <f aca="true" t="shared" si="2" ref="H39:H53">+B39+E39</f>
        <v>90</v>
      </c>
      <c r="I39" s="79">
        <f aca="true" t="shared" si="3" ref="I39:I53">+C39+F39</f>
        <v>57</v>
      </c>
    </row>
    <row r="40" spans="1:9" s="3" customFormat="1" ht="9" customHeight="1">
      <c r="A40" s="37" t="s">
        <v>17</v>
      </c>
      <c r="B40" s="5">
        <f>2870+4330</f>
        <v>7200</v>
      </c>
      <c r="C40" s="5">
        <f>8672+11566</f>
        <v>20238</v>
      </c>
      <c r="D40" s="21"/>
      <c r="E40" s="5">
        <f>3070+3220</f>
        <v>6290</v>
      </c>
      <c r="F40" s="5">
        <f>5778+7536</f>
        <v>13314</v>
      </c>
      <c r="G40" s="21"/>
      <c r="H40" s="5">
        <f t="shared" si="2"/>
        <v>13490</v>
      </c>
      <c r="I40" s="5">
        <f t="shared" si="3"/>
        <v>33552</v>
      </c>
    </row>
    <row r="41" spans="1:9" s="3" customFormat="1" ht="9" customHeight="1">
      <c r="A41" s="37" t="s">
        <v>40</v>
      </c>
      <c r="B41" s="5">
        <f>270+260</f>
        <v>530</v>
      </c>
      <c r="C41" s="5">
        <f>593+670</f>
        <v>1263</v>
      </c>
      <c r="D41" s="21"/>
      <c r="E41" s="5">
        <f>220+530</f>
        <v>750</v>
      </c>
      <c r="F41" s="5">
        <f>778+2332</f>
        <v>3110</v>
      </c>
      <c r="G41" s="21"/>
      <c r="H41" s="5">
        <f t="shared" si="2"/>
        <v>1280</v>
      </c>
      <c r="I41" s="5">
        <f t="shared" si="3"/>
        <v>4373</v>
      </c>
    </row>
    <row r="42" spans="1:9" s="3" customFormat="1" ht="9" customHeight="1">
      <c r="A42" s="37" t="s">
        <v>4</v>
      </c>
      <c r="B42" s="5">
        <f>260+340</f>
        <v>600</v>
      </c>
      <c r="C42" s="5">
        <f>972+1190</f>
        <v>2162</v>
      </c>
      <c r="D42" s="21"/>
      <c r="E42" s="5">
        <f>1710+240</f>
        <v>1950</v>
      </c>
      <c r="F42" s="5">
        <f>6330+1320</f>
        <v>7650</v>
      </c>
      <c r="G42" s="21"/>
      <c r="H42" s="5">
        <f t="shared" si="2"/>
        <v>2550</v>
      </c>
      <c r="I42" s="5">
        <f t="shared" si="3"/>
        <v>9812</v>
      </c>
    </row>
    <row r="43" spans="1:9" s="3" customFormat="1" ht="9" customHeight="1">
      <c r="A43" s="37" t="s">
        <v>20</v>
      </c>
      <c r="B43" s="5">
        <f>2041+2274</f>
        <v>4315</v>
      </c>
      <c r="C43" s="5">
        <f>9201+12471</f>
        <v>21672</v>
      </c>
      <c r="D43" s="21"/>
      <c r="E43" s="5">
        <f>150+290</f>
        <v>440</v>
      </c>
      <c r="F43" s="5">
        <f>475+1394</f>
        <v>1869</v>
      </c>
      <c r="G43" s="21"/>
      <c r="H43" s="5">
        <f t="shared" si="2"/>
        <v>4755</v>
      </c>
      <c r="I43" s="5">
        <f t="shared" si="3"/>
        <v>23541</v>
      </c>
    </row>
    <row r="44" spans="1:9" s="3" customFormat="1" ht="9" customHeight="1">
      <c r="A44" s="37" t="s">
        <v>5</v>
      </c>
      <c r="B44" s="3">
        <f>2897+8129</f>
        <v>11026</v>
      </c>
      <c r="C44" s="3">
        <f>5244+27905</f>
        <v>33149</v>
      </c>
      <c r="E44" s="3">
        <f>970+885</f>
        <v>1855</v>
      </c>
      <c r="F44" s="3">
        <f>2195+2520</f>
        <v>4715</v>
      </c>
      <c r="H44" s="5">
        <f t="shared" si="2"/>
        <v>12881</v>
      </c>
      <c r="I44" s="5">
        <f t="shared" si="3"/>
        <v>37864</v>
      </c>
    </row>
    <row r="45" spans="1:9" s="3" customFormat="1" ht="9" customHeight="1">
      <c r="A45" s="37" t="s">
        <v>6</v>
      </c>
      <c r="B45" s="3">
        <v>0</v>
      </c>
      <c r="C45" s="3">
        <v>0</v>
      </c>
      <c r="E45" s="3">
        <f>50+100</f>
        <v>150</v>
      </c>
      <c r="F45" s="3">
        <f>159+500</f>
        <v>659</v>
      </c>
      <c r="H45" s="5">
        <f t="shared" si="2"/>
        <v>150</v>
      </c>
      <c r="I45" s="5">
        <f t="shared" si="3"/>
        <v>659</v>
      </c>
    </row>
    <row r="46" spans="1:9" s="3" customFormat="1" ht="9" customHeight="1">
      <c r="A46" s="37" t="s">
        <v>7</v>
      </c>
      <c r="B46" s="3">
        <f>179+25</f>
        <v>204</v>
      </c>
      <c r="C46" s="3">
        <f>535+110</f>
        <v>645</v>
      </c>
      <c r="E46" s="3">
        <f>359+2290</f>
        <v>2649</v>
      </c>
      <c r="F46" s="3">
        <f>1590+2918</f>
        <v>4508</v>
      </c>
      <c r="H46" s="5">
        <f t="shared" si="2"/>
        <v>2853</v>
      </c>
      <c r="I46" s="5">
        <f t="shared" si="3"/>
        <v>5153</v>
      </c>
    </row>
    <row r="47" spans="1:9" s="3" customFormat="1" ht="9" customHeight="1">
      <c r="A47" s="37" t="s">
        <v>8</v>
      </c>
      <c r="B47" s="3">
        <f>3920+5303</f>
        <v>9223</v>
      </c>
      <c r="C47" s="3">
        <f>16720+20620</f>
        <v>37340</v>
      </c>
      <c r="E47" s="3">
        <f>1170+2135</f>
        <v>3305</v>
      </c>
      <c r="F47" s="3">
        <f>4128+8615</f>
        <v>12743</v>
      </c>
      <c r="H47" s="5">
        <f t="shared" si="2"/>
        <v>12528</v>
      </c>
      <c r="I47" s="5">
        <f t="shared" si="3"/>
        <v>50083</v>
      </c>
    </row>
    <row r="48" spans="1:9" s="3" customFormat="1" ht="9" customHeight="1">
      <c r="A48" s="37" t="s">
        <v>9</v>
      </c>
      <c r="B48" s="3">
        <f>200+840</f>
        <v>1040</v>
      </c>
      <c r="C48" s="3">
        <f>190+3047</f>
        <v>3237</v>
      </c>
      <c r="E48" s="3">
        <f>3130+810</f>
        <v>3940</v>
      </c>
      <c r="F48" s="3">
        <f>3482+3888</f>
        <v>7370</v>
      </c>
      <c r="H48" s="5">
        <f t="shared" si="2"/>
        <v>4980</v>
      </c>
      <c r="I48" s="5">
        <f t="shared" si="3"/>
        <v>10607</v>
      </c>
    </row>
    <row r="49" spans="1:9" s="3" customFormat="1" ht="9" customHeight="1">
      <c r="A49" s="37" t="s">
        <v>10</v>
      </c>
      <c r="B49" s="3">
        <f>3080+11680</f>
        <v>14760</v>
      </c>
      <c r="C49" s="3">
        <f>11800+59900</f>
        <v>71700</v>
      </c>
      <c r="E49" s="3">
        <f>4500+2100</f>
        <v>6600</v>
      </c>
      <c r="F49" s="3">
        <f>14532+8700</f>
        <v>23232</v>
      </c>
      <c r="H49" s="5">
        <f t="shared" si="2"/>
        <v>21360</v>
      </c>
      <c r="I49" s="5">
        <f t="shared" si="3"/>
        <v>94932</v>
      </c>
    </row>
    <row r="50" spans="1:9" s="3" customFormat="1" ht="9" customHeight="1">
      <c r="A50" s="37" t="s">
        <v>11</v>
      </c>
      <c r="B50" s="3">
        <f>6690+4810</f>
        <v>11500</v>
      </c>
      <c r="C50" s="3">
        <f>16520+24820</f>
        <v>41340</v>
      </c>
      <c r="E50" s="3">
        <f>2020+1220</f>
        <v>3240</v>
      </c>
      <c r="F50" s="3">
        <f>4240+2550</f>
        <v>6790</v>
      </c>
      <c r="H50" s="5">
        <f t="shared" si="2"/>
        <v>14740</v>
      </c>
      <c r="I50" s="5">
        <f t="shared" si="3"/>
        <v>48130</v>
      </c>
    </row>
    <row r="51" spans="1:9" s="3" customFormat="1" ht="9" customHeight="1">
      <c r="A51" s="37" t="s">
        <v>12</v>
      </c>
      <c r="B51" s="3">
        <f>20+4390</f>
        <v>4410</v>
      </c>
      <c r="C51" s="3">
        <f>60+18350</f>
        <v>18410</v>
      </c>
      <c r="E51" s="3">
        <f>50+473</f>
        <v>523</v>
      </c>
      <c r="F51" s="3">
        <f>150+1905</f>
        <v>2055</v>
      </c>
      <c r="H51" s="5">
        <f t="shared" si="2"/>
        <v>4933</v>
      </c>
      <c r="I51" s="5">
        <f t="shared" si="3"/>
        <v>20465</v>
      </c>
    </row>
    <row r="52" spans="1:9" s="3" customFormat="1" ht="9" customHeight="1">
      <c r="A52" s="37" t="s">
        <v>13</v>
      </c>
      <c r="B52" s="3">
        <f>800+6280</f>
        <v>7080</v>
      </c>
      <c r="C52" s="3">
        <f>4200+27620</f>
        <v>31820</v>
      </c>
      <c r="E52" s="3">
        <f>2430+2900</f>
        <v>5330</v>
      </c>
      <c r="F52" s="3">
        <f>9900+10460</f>
        <v>20360</v>
      </c>
      <c r="H52" s="5">
        <f t="shared" si="2"/>
        <v>12410</v>
      </c>
      <c r="I52" s="5">
        <f t="shared" si="3"/>
        <v>52180</v>
      </c>
    </row>
    <row r="53" spans="1:10" s="3" customFormat="1" ht="9" customHeight="1">
      <c r="A53" s="37" t="s">
        <v>14</v>
      </c>
      <c r="B53" s="3">
        <f>395+985</f>
        <v>1380</v>
      </c>
      <c r="C53" s="3">
        <f>1520+4000</f>
        <v>5520</v>
      </c>
      <c r="E53" s="3">
        <f>1500+500</f>
        <v>2000</v>
      </c>
      <c r="F53" s="3">
        <f>4500+1800</f>
        <v>6300</v>
      </c>
      <c r="H53" s="5">
        <f t="shared" si="2"/>
        <v>3380</v>
      </c>
      <c r="I53" s="5">
        <f t="shared" si="3"/>
        <v>11820</v>
      </c>
      <c r="J53" s="7"/>
    </row>
    <row r="54" spans="1:10" s="3" customFormat="1" ht="9">
      <c r="A54" s="32" t="s">
        <v>15</v>
      </c>
      <c r="B54" s="7">
        <f>SUM(B35:B53)-B38</f>
        <v>81398</v>
      </c>
      <c r="C54" s="7">
        <f>SUM(C35:C53)-C38</f>
        <v>308153</v>
      </c>
      <c r="D54" s="7"/>
      <c r="E54" s="7">
        <f>SUM(E35:E53)-E38</f>
        <v>46712</v>
      </c>
      <c r="F54" s="7">
        <f>SUM(F35:F53)-F38</f>
        <v>128970</v>
      </c>
      <c r="G54" s="7"/>
      <c r="H54" s="7">
        <f>SUM(H35:H53)-H38</f>
        <v>128110</v>
      </c>
      <c r="I54" s="7">
        <f>SUM(I35:I53)-I38</f>
        <v>437123</v>
      </c>
      <c r="J54" s="7"/>
    </row>
    <row r="55" spans="1:10" ht="9" customHeight="1">
      <c r="A55" s="32" t="s">
        <v>54</v>
      </c>
      <c r="B55" s="9">
        <f>SUM(B35:B43)-B38</f>
        <v>20775</v>
      </c>
      <c r="C55" s="9">
        <f>SUM(C35:C43)-C38</f>
        <v>64992</v>
      </c>
      <c r="D55" s="9"/>
      <c r="E55" s="9">
        <f>SUM(E35:E43)-E38</f>
        <v>17120</v>
      </c>
      <c r="F55" s="9">
        <f>SUM(F35:F43)-F38</f>
        <v>40238</v>
      </c>
      <c r="G55" s="9"/>
      <c r="H55" s="9">
        <f>SUM(H35:H43)-H38</f>
        <v>37895</v>
      </c>
      <c r="I55" s="9">
        <f>SUM(I35:I43)-I38</f>
        <v>105230</v>
      </c>
      <c r="J55" s="7"/>
    </row>
    <row r="56" spans="1:10" ht="9" customHeight="1">
      <c r="A56" s="32" t="s">
        <v>53</v>
      </c>
      <c r="B56" s="9">
        <f>SUM(B44:B47)</f>
        <v>20453</v>
      </c>
      <c r="C56" s="9">
        <f>SUM(C44:C47)</f>
        <v>71134</v>
      </c>
      <c r="D56" s="9"/>
      <c r="E56" s="9">
        <f>SUM(E44:E47)</f>
        <v>7959</v>
      </c>
      <c r="F56" s="9">
        <f>SUM(F44:F47)</f>
        <v>22625</v>
      </c>
      <c r="G56" s="9"/>
      <c r="H56" s="9">
        <f>SUM(H44:H47)</f>
        <v>28412</v>
      </c>
      <c r="I56" s="9">
        <f>SUM(I44:I47)</f>
        <v>93759</v>
      </c>
      <c r="J56" s="7"/>
    </row>
    <row r="57" spans="1:9" ht="9" customHeight="1">
      <c r="A57" s="32" t="s">
        <v>39</v>
      </c>
      <c r="B57" s="7">
        <f>SUM(B48:B53)</f>
        <v>40170</v>
      </c>
      <c r="C57" s="7">
        <f>SUM(C48:C53)</f>
        <v>172027</v>
      </c>
      <c r="D57" s="7"/>
      <c r="E57" s="7">
        <f>SUM(E48:E53)</f>
        <v>21633</v>
      </c>
      <c r="F57" s="7">
        <f>SUM(F48:F53)</f>
        <v>66107</v>
      </c>
      <c r="G57" s="7"/>
      <c r="H57" s="7">
        <f>SUM(H48:H53)</f>
        <v>61803</v>
      </c>
      <c r="I57" s="7">
        <f>SUM(I48:I53)</f>
        <v>238134</v>
      </c>
    </row>
    <row r="58" spans="1:9" ht="9" customHeight="1">
      <c r="A58" s="4"/>
      <c r="B58" s="4"/>
      <c r="C58" s="4"/>
      <c r="D58" s="19"/>
      <c r="E58" s="4"/>
      <c r="F58" s="4"/>
      <c r="G58" s="19"/>
      <c r="H58" s="4"/>
      <c r="I58" s="4"/>
    </row>
    <row r="59" spans="1:9" ht="9" customHeight="1">
      <c r="A59" s="5"/>
      <c r="B59" s="5"/>
      <c r="C59" s="5"/>
      <c r="D59" s="21"/>
      <c r="E59" s="5"/>
      <c r="F59" s="5"/>
      <c r="G59" s="21"/>
      <c r="H59" s="5"/>
      <c r="I59" s="5"/>
    </row>
    <row r="60" spans="1:9" ht="9" customHeight="1">
      <c r="A60" s="5"/>
      <c r="B60" s="5"/>
      <c r="C60" s="5"/>
      <c r="D60" s="21"/>
      <c r="E60" s="5"/>
      <c r="F60" s="5"/>
      <c r="G60" s="21"/>
      <c r="H60" s="5"/>
      <c r="I60" s="5"/>
    </row>
    <row r="61" spans="1:9" ht="9" customHeight="1">
      <c r="A61" s="5"/>
      <c r="B61" s="5"/>
      <c r="C61" s="5"/>
      <c r="D61" s="21"/>
      <c r="E61" s="5"/>
      <c r="F61" s="5"/>
      <c r="G61" s="21"/>
      <c r="H61" s="5"/>
      <c r="I61" s="5"/>
    </row>
    <row r="62" spans="1:9" ht="9" customHeight="1">
      <c r="A62" s="5"/>
      <c r="B62" s="5"/>
      <c r="C62" s="5"/>
      <c r="D62" s="21"/>
      <c r="E62" s="5"/>
      <c r="F62" s="5"/>
      <c r="G62" s="21"/>
      <c r="H62" s="5"/>
      <c r="I62" s="5"/>
    </row>
    <row r="63" spans="1:9" ht="9" customHeight="1">
      <c r="A63" s="5"/>
      <c r="B63" s="5"/>
      <c r="C63" s="5"/>
      <c r="D63" s="21"/>
      <c r="E63" s="5"/>
      <c r="F63" s="5"/>
      <c r="G63" s="21"/>
      <c r="H63" s="5"/>
      <c r="I63" s="5"/>
    </row>
    <row r="64" spans="1:9" ht="9" customHeight="1">
      <c r="A64" s="5"/>
      <c r="B64" s="5"/>
      <c r="C64" s="5"/>
      <c r="D64" s="21"/>
      <c r="E64" s="5"/>
      <c r="F64" s="5"/>
      <c r="G64" s="21"/>
      <c r="H64" s="5"/>
      <c r="I64" s="5"/>
    </row>
    <row r="65" spans="1:9" ht="9" customHeight="1">
      <c r="A65" s="5"/>
      <c r="B65" s="5"/>
      <c r="C65" s="5"/>
      <c r="D65" s="21"/>
      <c r="E65" s="5"/>
      <c r="F65" s="5"/>
      <c r="G65" s="21"/>
      <c r="H65" s="5"/>
      <c r="I65" s="5"/>
    </row>
    <row r="66" spans="1:9" ht="9" customHeight="1">
      <c r="A66" s="5"/>
      <c r="B66" s="5"/>
      <c r="C66" s="5"/>
      <c r="D66" s="21"/>
      <c r="E66" s="5"/>
      <c r="F66" s="5"/>
      <c r="G66" s="21"/>
      <c r="H66" s="5"/>
      <c r="I66" s="5"/>
    </row>
    <row r="67" spans="1:9" ht="9" customHeight="1">
      <c r="A67" s="5"/>
      <c r="B67" s="5"/>
      <c r="C67" s="5"/>
      <c r="D67" s="21"/>
      <c r="E67" s="5"/>
      <c r="F67" s="5"/>
      <c r="G67" s="21"/>
      <c r="H67" s="5"/>
      <c r="I67" s="5"/>
    </row>
    <row r="68" spans="1:9" ht="9" customHeight="1">
      <c r="A68" s="5"/>
      <c r="B68" s="5"/>
      <c r="C68" s="5"/>
      <c r="D68" s="21"/>
      <c r="E68" s="5"/>
      <c r="F68" s="5"/>
      <c r="G68" s="21"/>
      <c r="H68" s="5"/>
      <c r="I68" s="5"/>
    </row>
    <row r="69" spans="1:9" ht="9" customHeight="1">
      <c r="A69" s="5"/>
      <c r="B69" s="5"/>
      <c r="C69" s="5"/>
      <c r="D69" s="21"/>
      <c r="E69" s="5"/>
      <c r="F69" s="5"/>
      <c r="G69" s="21"/>
      <c r="H69" s="5"/>
      <c r="I69" s="5"/>
    </row>
    <row r="70" spans="2:9" ht="9" customHeight="1">
      <c r="B70" s="3"/>
      <c r="C70" s="3"/>
      <c r="D70" s="3"/>
      <c r="E70" s="3"/>
      <c r="F70" s="3"/>
      <c r="G70" s="3"/>
      <c r="H70" s="3"/>
      <c r="I70" s="3"/>
    </row>
    <row r="71" spans="2:9" ht="9" customHeight="1">
      <c r="B71" s="3"/>
      <c r="C71" s="3"/>
      <c r="D71" s="3"/>
      <c r="E71" s="3"/>
      <c r="F71" s="3"/>
      <c r="G71" s="3"/>
      <c r="H71" s="3"/>
      <c r="I71" s="3"/>
    </row>
    <row r="72" spans="2:9" ht="9" customHeight="1">
      <c r="B72" s="3"/>
      <c r="C72" s="3"/>
      <c r="D72" s="3"/>
      <c r="E72" s="3"/>
      <c r="F72" s="3"/>
      <c r="G72" s="3"/>
      <c r="H72" s="3"/>
      <c r="I72" s="3"/>
    </row>
    <row r="73" spans="2:9" ht="9" customHeight="1">
      <c r="B73" s="3"/>
      <c r="C73" s="3"/>
      <c r="D73" s="3"/>
      <c r="E73" s="3"/>
      <c r="F73" s="3"/>
      <c r="G73" s="3"/>
      <c r="H73" s="3"/>
      <c r="I73" s="3"/>
    </row>
    <row r="74" spans="2:9" ht="9" customHeight="1">
      <c r="B74" s="3"/>
      <c r="C74" s="3"/>
      <c r="D74" s="3"/>
      <c r="E74" s="3"/>
      <c r="F74" s="3"/>
      <c r="G74" s="3"/>
      <c r="H74" s="3"/>
      <c r="I74" s="3"/>
    </row>
    <row r="75" spans="2:9" ht="9" customHeight="1">
      <c r="B75" s="3"/>
      <c r="C75" s="3"/>
      <c r="D75" s="3"/>
      <c r="E75" s="3"/>
      <c r="F75" s="3"/>
      <c r="G75" s="3"/>
      <c r="H75" s="3"/>
      <c r="I75" s="3"/>
    </row>
    <row r="76" spans="2:9" ht="9" customHeight="1">
      <c r="B76" s="3"/>
      <c r="C76" s="3"/>
      <c r="D76" s="3"/>
      <c r="E76" s="3"/>
      <c r="F76" s="3"/>
      <c r="G76" s="3"/>
      <c r="H76" s="3"/>
      <c r="I76" s="3"/>
    </row>
    <row r="77" spans="2:9" ht="9" customHeight="1">
      <c r="B77" s="3"/>
      <c r="C77" s="3"/>
      <c r="D77" s="3"/>
      <c r="E77" s="3"/>
      <c r="F77" s="3"/>
      <c r="G77" s="3"/>
      <c r="H77" s="3"/>
      <c r="I77" s="3"/>
    </row>
    <row r="78" spans="2:9" ht="9" customHeight="1">
      <c r="B78" s="3"/>
      <c r="C78" s="3"/>
      <c r="D78" s="3"/>
      <c r="E78" s="3"/>
      <c r="F78" s="3"/>
      <c r="G78" s="3"/>
      <c r="H78" s="3"/>
      <c r="I78" s="3"/>
    </row>
    <row r="79" spans="2:9" ht="9" customHeight="1">
      <c r="B79" s="3"/>
      <c r="C79" s="3"/>
      <c r="D79" s="3"/>
      <c r="E79" s="3"/>
      <c r="F79" s="3"/>
      <c r="G79" s="3"/>
      <c r="H79" s="3"/>
      <c r="I79" s="3"/>
    </row>
    <row r="80" spans="2:9" ht="9" customHeight="1">
      <c r="B80" s="7"/>
      <c r="C80" s="7"/>
      <c r="D80" s="7"/>
      <c r="E80" s="7"/>
      <c r="F80" s="7"/>
      <c r="G80" s="7"/>
      <c r="H80" s="7"/>
      <c r="I80" s="7"/>
    </row>
  </sheetData>
  <mergeCells count="6">
    <mergeCell ref="A8:I8"/>
    <mergeCell ref="A32:I32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R53"/>
  <sheetViews>
    <sheetView workbookViewId="0" topLeftCell="A1">
      <selection activeCell="A8" sqref="A8:I8"/>
    </sheetView>
  </sheetViews>
  <sheetFormatPr defaultColWidth="9.140625" defaultRowHeight="12.75"/>
  <cols>
    <col min="1" max="1" width="17.8515625" style="20" customWidth="1"/>
    <col min="2" max="2" width="9.00390625" style="20" customWidth="1"/>
    <col min="3" max="3" width="9.421875" style="20" customWidth="1"/>
    <col min="4" max="4" width="1.1484375" style="20" customWidth="1"/>
    <col min="5" max="6" width="9.00390625" style="20" customWidth="1"/>
    <col min="7" max="7" width="2.140625" style="20" customWidth="1"/>
    <col min="8" max="8" width="9.421875" style="20" bestFit="1" customWidth="1"/>
    <col min="9" max="9" width="9.421875" style="20" customWidth="1"/>
    <col min="10" max="10" width="10.7109375" style="20" bestFit="1" customWidth="1"/>
    <col min="11" max="11" width="14.00390625" style="20" customWidth="1"/>
    <col min="12" max="12" width="13.140625" style="20" customWidth="1"/>
    <col min="13" max="14" width="9.140625" style="20" customWidth="1"/>
    <col min="15" max="15" width="9.8515625" style="20" bestFit="1" customWidth="1"/>
    <col min="16" max="16384" width="9.140625" style="20" customWidth="1"/>
  </cols>
  <sheetData>
    <row r="1" ht="9" customHeight="1"/>
    <row r="2" s="18" customFormat="1" ht="12.75">
      <c r="A2" s="16" t="s">
        <v>63</v>
      </c>
    </row>
    <row r="3" s="18" customFormat="1" ht="12.75">
      <c r="A3" s="17" t="s">
        <v>60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12" customHeight="1">
      <c r="A7" s="6"/>
      <c r="B7" s="5"/>
      <c r="C7" s="5"/>
      <c r="D7" s="5"/>
      <c r="E7" s="5"/>
      <c r="F7" s="5"/>
      <c r="G7" s="5"/>
      <c r="H7" s="5"/>
      <c r="I7" s="5"/>
    </row>
    <row r="8" spans="1:16" s="3" customFormat="1" ht="16.5" customHeight="1">
      <c r="A8" s="97" t="s">
        <v>45</v>
      </c>
      <c r="B8" s="97"/>
      <c r="C8" s="97"/>
      <c r="D8" s="97"/>
      <c r="E8" s="97"/>
      <c r="F8" s="97"/>
      <c r="G8" s="97"/>
      <c r="H8" s="97"/>
      <c r="I8" s="97"/>
      <c r="J8" s="27"/>
      <c r="K8" s="27"/>
      <c r="L8" s="27"/>
      <c r="M8" s="27"/>
      <c r="N8" s="27"/>
      <c r="O8" s="27"/>
      <c r="P8" s="27"/>
    </row>
    <row r="9" spans="2:16" s="3" customFormat="1" ht="9" customHeight="1">
      <c r="B9" s="26"/>
      <c r="J9" s="27"/>
      <c r="K9" s="98"/>
      <c r="L9" s="98"/>
      <c r="M9" s="98"/>
      <c r="N9" s="98"/>
      <c r="O9" s="98"/>
      <c r="P9" s="98"/>
    </row>
    <row r="10" spans="1:16" s="3" customFormat="1" ht="9">
      <c r="A10" s="38" t="s">
        <v>2</v>
      </c>
      <c r="B10" s="3">
        <v>5997</v>
      </c>
      <c r="C10" s="3">
        <v>10920</v>
      </c>
      <c r="E10" s="3">
        <v>14895</v>
      </c>
      <c r="F10" s="3">
        <v>23728</v>
      </c>
      <c r="H10" s="3">
        <f>B10+E10</f>
        <v>20892</v>
      </c>
      <c r="I10" s="3">
        <f>C10+F10</f>
        <v>34648</v>
      </c>
      <c r="J10" s="27"/>
      <c r="K10" s="27"/>
      <c r="L10" s="27"/>
      <c r="M10" s="27"/>
      <c r="N10" s="27"/>
      <c r="O10" s="27"/>
      <c r="P10" s="27"/>
    </row>
    <row r="11" spans="1:16" s="3" customFormat="1" ht="9">
      <c r="A11" s="38" t="s">
        <v>47</v>
      </c>
      <c r="B11" s="3">
        <v>491</v>
      </c>
      <c r="C11" s="3">
        <v>1970</v>
      </c>
      <c r="E11" s="3">
        <v>40</v>
      </c>
      <c r="F11" s="3">
        <v>128</v>
      </c>
      <c r="H11" s="3">
        <f aca="true" t="shared" si="0" ref="H11:I29">B11+E11</f>
        <v>531</v>
      </c>
      <c r="I11" s="3">
        <f t="shared" si="0"/>
        <v>2098</v>
      </c>
      <c r="J11" s="27"/>
      <c r="K11" s="27"/>
      <c r="L11" s="27"/>
      <c r="M11" s="27"/>
      <c r="N11" s="27"/>
      <c r="O11" s="27"/>
      <c r="P11" s="27"/>
    </row>
    <row r="12" spans="1:16" s="3" customFormat="1" ht="9">
      <c r="A12" s="38" t="s">
        <v>3</v>
      </c>
      <c r="B12" s="3">
        <v>10940</v>
      </c>
      <c r="C12" s="3">
        <v>39819</v>
      </c>
      <c r="E12" s="3">
        <v>8365</v>
      </c>
      <c r="F12" s="3">
        <v>21172</v>
      </c>
      <c r="H12" s="3">
        <f t="shared" si="0"/>
        <v>19305</v>
      </c>
      <c r="I12" s="3">
        <f t="shared" si="0"/>
        <v>60991</v>
      </c>
      <c r="J12" s="27"/>
      <c r="K12" s="27"/>
      <c r="L12" s="27"/>
      <c r="M12" s="27"/>
      <c r="N12" s="27"/>
      <c r="O12" s="27"/>
      <c r="P12" s="27"/>
    </row>
    <row r="13" spans="1:10" s="3" customFormat="1" ht="9">
      <c r="A13" s="38" t="s">
        <v>49</v>
      </c>
      <c r="B13" s="3">
        <f>B14+B15</f>
        <v>60</v>
      </c>
      <c r="C13" s="3">
        <f aca="true" t="shared" si="1" ref="C13:I13">C14+C15</f>
        <v>119</v>
      </c>
      <c r="E13" s="3">
        <f t="shared" si="1"/>
        <v>120</v>
      </c>
      <c r="F13" s="3">
        <f t="shared" si="1"/>
        <v>274</v>
      </c>
      <c r="H13" s="3">
        <f t="shared" si="1"/>
        <v>180</v>
      </c>
      <c r="I13" s="3">
        <f t="shared" si="1"/>
        <v>393</v>
      </c>
      <c r="J13" s="27"/>
    </row>
    <row r="14" spans="1:16" s="10" customFormat="1" ht="9">
      <c r="A14" s="39" t="s">
        <v>21</v>
      </c>
      <c r="B14" s="10">
        <v>15</v>
      </c>
      <c r="C14" s="10">
        <v>57</v>
      </c>
      <c r="E14" s="10">
        <v>28</v>
      </c>
      <c r="F14" s="10">
        <v>76</v>
      </c>
      <c r="H14" s="10">
        <f t="shared" si="0"/>
        <v>43</v>
      </c>
      <c r="I14" s="10">
        <f t="shared" si="0"/>
        <v>133</v>
      </c>
      <c r="J14" s="27"/>
      <c r="K14" s="3"/>
      <c r="L14" s="3"/>
      <c r="M14" s="3"/>
      <c r="N14" s="3"/>
      <c r="O14" s="3"/>
      <c r="P14" s="3"/>
    </row>
    <row r="15" spans="1:16" s="10" customFormat="1" ht="9">
      <c r="A15" s="39" t="s">
        <v>19</v>
      </c>
      <c r="B15" s="10">
        <v>45</v>
      </c>
      <c r="C15" s="10">
        <v>62</v>
      </c>
      <c r="E15" s="10">
        <v>92</v>
      </c>
      <c r="F15" s="10">
        <v>198</v>
      </c>
      <c r="H15" s="10">
        <f t="shared" si="0"/>
        <v>137</v>
      </c>
      <c r="I15" s="10">
        <f t="shared" si="0"/>
        <v>260</v>
      </c>
      <c r="J15" s="27"/>
      <c r="K15" s="3"/>
      <c r="L15" s="3"/>
      <c r="M15" s="3"/>
      <c r="N15" s="3"/>
      <c r="O15" s="3"/>
      <c r="P15" s="3"/>
    </row>
    <row r="16" spans="1:10" s="3" customFormat="1" ht="9">
      <c r="A16" s="38" t="s">
        <v>17</v>
      </c>
      <c r="B16" s="3">
        <v>17755</v>
      </c>
      <c r="C16" s="3">
        <v>66803</v>
      </c>
      <c r="E16" s="3">
        <v>12600</v>
      </c>
      <c r="F16" s="3">
        <v>30145</v>
      </c>
      <c r="H16" s="3">
        <f t="shared" si="0"/>
        <v>30355</v>
      </c>
      <c r="I16" s="3">
        <f t="shared" si="0"/>
        <v>96948</v>
      </c>
      <c r="J16" s="27"/>
    </row>
    <row r="17" spans="1:10" s="3" customFormat="1" ht="9">
      <c r="A17" s="37" t="s">
        <v>42</v>
      </c>
      <c r="B17" s="3">
        <v>1894</v>
      </c>
      <c r="C17" s="3">
        <v>6170</v>
      </c>
      <c r="E17" s="3">
        <v>2069</v>
      </c>
      <c r="F17" s="3">
        <v>8832</v>
      </c>
      <c r="H17" s="3">
        <f t="shared" si="0"/>
        <v>3963</v>
      </c>
      <c r="I17" s="3">
        <f t="shared" si="0"/>
        <v>15002</v>
      </c>
      <c r="J17" s="27"/>
    </row>
    <row r="18" spans="1:10" s="3" customFormat="1" ht="9">
      <c r="A18" s="38" t="s">
        <v>4</v>
      </c>
      <c r="B18" s="3">
        <v>55200</v>
      </c>
      <c r="C18" s="3">
        <v>370685</v>
      </c>
      <c r="E18" s="3">
        <v>30410</v>
      </c>
      <c r="F18" s="3">
        <v>263205</v>
      </c>
      <c r="H18" s="3">
        <f t="shared" si="0"/>
        <v>85610</v>
      </c>
      <c r="I18" s="3">
        <f t="shared" si="0"/>
        <v>633890</v>
      </c>
      <c r="J18" s="27"/>
    </row>
    <row r="19" spans="1:10" s="3" customFormat="1" ht="9">
      <c r="A19" s="38" t="s">
        <v>44</v>
      </c>
      <c r="B19" s="3">
        <v>5866</v>
      </c>
      <c r="C19" s="3">
        <v>29351</v>
      </c>
      <c r="E19" s="3">
        <v>3830</v>
      </c>
      <c r="F19" s="3">
        <v>10689</v>
      </c>
      <c r="H19" s="3">
        <f t="shared" si="0"/>
        <v>9696</v>
      </c>
      <c r="I19" s="3">
        <f t="shared" si="0"/>
        <v>40040</v>
      </c>
      <c r="J19" s="27"/>
    </row>
    <row r="20" spans="1:10" s="3" customFormat="1" ht="9">
      <c r="A20" s="38" t="s">
        <v>5</v>
      </c>
      <c r="B20" s="3">
        <v>35121</v>
      </c>
      <c r="C20" s="3">
        <v>265251</v>
      </c>
      <c r="E20" s="3">
        <v>20330</v>
      </c>
      <c r="F20" s="3">
        <v>132724</v>
      </c>
      <c r="H20" s="3">
        <f t="shared" si="0"/>
        <v>55451</v>
      </c>
      <c r="I20" s="3">
        <f t="shared" si="0"/>
        <v>397975</v>
      </c>
      <c r="J20" s="27"/>
    </row>
    <row r="21" spans="1:10" s="3" customFormat="1" ht="9">
      <c r="A21" s="38" t="s">
        <v>6</v>
      </c>
      <c r="B21" s="3">
        <v>2700</v>
      </c>
      <c r="C21" s="3">
        <v>17445</v>
      </c>
      <c r="E21" s="3">
        <v>1875</v>
      </c>
      <c r="F21" s="3">
        <v>18477</v>
      </c>
      <c r="H21" s="3">
        <f t="shared" si="0"/>
        <v>4575</v>
      </c>
      <c r="I21" s="3">
        <f t="shared" si="0"/>
        <v>35922</v>
      </c>
      <c r="J21" s="27"/>
    </row>
    <row r="22" spans="1:10" s="3" customFormat="1" ht="9">
      <c r="A22" s="38" t="s">
        <v>7</v>
      </c>
      <c r="B22" s="3">
        <v>2131</v>
      </c>
      <c r="C22" s="3">
        <v>11048</v>
      </c>
      <c r="E22" s="3">
        <v>5159</v>
      </c>
      <c r="F22" s="3">
        <v>10310</v>
      </c>
      <c r="H22" s="3">
        <f t="shared" si="0"/>
        <v>7290</v>
      </c>
      <c r="I22" s="3">
        <f t="shared" si="0"/>
        <v>21358</v>
      </c>
      <c r="J22" s="27"/>
    </row>
    <row r="23" spans="1:10" s="3" customFormat="1" ht="9">
      <c r="A23" s="38" t="s">
        <v>8</v>
      </c>
      <c r="B23" s="3">
        <v>50673</v>
      </c>
      <c r="C23" s="3">
        <v>316171</v>
      </c>
      <c r="E23" s="3">
        <v>12755</v>
      </c>
      <c r="F23" s="3">
        <v>32234</v>
      </c>
      <c r="H23" s="3">
        <f t="shared" si="0"/>
        <v>63428</v>
      </c>
      <c r="I23" s="3">
        <f t="shared" si="0"/>
        <v>348405</v>
      </c>
      <c r="J23" s="27"/>
    </row>
    <row r="24" spans="1:10" s="3" customFormat="1" ht="9">
      <c r="A24" s="38" t="s">
        <v>9</v>
      </c>
      <c r="B24" s="3">
        <v>4175</v>
      </c>
      <c r="C24" s="3">
        <v>31605</v>
      </c>
      <c r="E24" s="3">
        <v>4450</v>
      </c>
      <c r="F24" s="3">
        <v>10955</v>
      </c>
      <c r="H24" s="3">
        <f t="shared" si="0"/>
        <v>8625</v>
      </c>
      <c r="I24" s="3">
        <f t="shared" si="0"/>
        <v>42560</v>
      </c>
      <c r="J24" s="27"/>
    </row>
    <row r="25" spans="1:16" s="3" customFormat="1" ht="9">
      <c r="A25" s="38" t="s">
        <v>10</v>
      </c>
      <c r="B25" s="3">
        <v>152243</v>
      </c>
      <c r="C25" s="3">
        <v>992736</v>
      </c>
      <c r="E25" s="3">
        <v>39355</v>
      </c>
      <c r="F25" s="3">
        <v>153657</v>
      </c>
      <c r="H25" s="3">
        <f t="shared" si="0"/>
        <v>191598</v>
      </c>
      <c r="I25" s="3">
        <f t="shared" si="0"/>
        <v>1146393</v>
      </c>
      <c r="J25" s="27"/>
      <c r="P25" s="54"/>
    </row>
    <row r="26" spans="1:10" s="3" customFormat="1" ht="9">
      <c r="A26" s="38" t="s">
        <v>11</v>
      </c>
      <c r="B26" s="3">
        <v>77920</v>
      </c>
      <c r="C26" s="3">
        <v>731355</v>
      </c>
      <c r="E26" s="3">
        <v>9070</v>
      </c>
      <c r="F26" s="3">
        <v>87205</v>
      </c>
      <c r="H26" s="3">
        <f t="shared" si="0"/>
        <v>86990</v>
      </c>
      <c r="I26" s="3">
        <f t="shared" si="0"/>
        <v>818560</v>
      </c>
      <c r="J26" s="27"/>
    </row>
    <row r="27" spans="1:16" s="3" customFormat="1" ht="9">
      <c r="A27" s="38" t="s">
        <v>12</v>
      </c>
      <c r="B27" s="3">
        <v>7407</v>
      </c>
      <c r="C27" s="3">
        <v>38979</v>
      </c>
      <c r="E27" s="3">
        <v>1533</v>
      </c>
      <c r="F27" s="3">
        <v>10520</v>
      </c>
      <c r="H27" s="3">
        <f t="shared" si="0"/>
        <v>8940</v>
      </c>
      <c r="I27" s="3">
        <f t="shared" si="0"/>
        <v>49499</v>
      </c>
      <c r="J27" s="27"/>
      <c r="P27" s="54"/>
    </row>
    <row r="28" spans="1:10" s="3" customFormat="1" ht="9" customHeight="1">
      <c r="A28" s="38" t="s">
        <v>13</v>
      </c>
      <c r="B28" s="3">
        <v>60920</v>
      </c>
      <c r="C28" s="3">
        <v>391605</v>
      </c>
      <c r="E28" s="3">
        <v>18080</v>
      </c>
      <c r="F28" s="3">
        <v>126192</v>
      </c>
      <c r="H28" s="3">
        <f t="shared" si="0"/>
        <v>79000</v>
      </c>
      <c r="I28" s="3">
        <f t="shared" si="0"/>
        <v>517797</v>
      </c>
      <c r="J28" s="27"/>
    </row>
    <row r="29" spans="1:10" s="3" customFormat="1" ht="9" customHeight="1">
      <c r="A29" s="38" t="s">
        <v>14</v>
      </c>
      <c r="B29" s="3">
        <v>8035</v>
      </c>
      <c r="C29" s="3">
        <v>54620</v>
      </c>
      <c r="E29" s="3">
        <v>3700</v>
      </c>
      <c r="F29" s="3">
        <v>15600</v>
      </c>
      <c r="H29" s="3">
        <f t="shared" si="0"/>
        <v>11735</v>
      </c>
      <c r="I29" s="3">
        <f t="shared" si="0"/>
        <v>70220</v>
      </c>
      <c r="J29" s="27"/>
    </row>
    <row r="30" spans="1:10" s="3" customFormat="1" ht="9" customHeight="1">
      <c r="A30" s="32" t="s">
        <v>15</v>
      </c>
      <c r="B30" s="7">
        <f>SUM(B10:B29)-B13</f>
        <v>499528</v>
      </c>
      <c r="C30" s="7">
        <f aca="true" t="shared" si="2" ref="C30:I30">SUM(C10:C29)-C13</f>
        <v>3376652</v>
      </c>
      <c r="D30" s="7"/>
      <c r="E30" s="7">
        <f t="shared" si="2"/>
        <v>188636</v>
      </c>
      <c r="F30" s="7">
        <f t="shared" si="2"/>
        <v>956047</v>
      </c>
      <c r="G30" s="7"/>
      <c r="H30" s="7">
        <f t="shared" si="2"/>
        <v>688164</v>
      </c>
      <c r="I30" s="7">
        <f t="shared" si="2"/>
        <v>4332699</v>
      </c>
      <c r="J30" s="27"/>
    </row>
    <row r="31" spans="1:10" s="3" customFormat="1" ht="9" customHeight="1">
      <c r="A31" s="32" t="s">
        <v>54</v>
      </c>
      <c r="B31" s="7">
        <f>SUM(B10:B19)-B13</f>
        <v>98203</v>
      </c>
      <c r="C31" s="7">
        <f>SUM(C10:C19)-C13</f>
        <v>525837</v>
      </c>
      <c r="D31" s="7"/>
      <c r="E31" s="7">
        <f>SUM(E10:E19)-E13</f>
        <v>72329</v>
      </c>
      <c r="F31" s="7">
        <f>SUM(F10:F19)-F13</f>
        <v>358173</v>
      </c>
      <c r="G31" s="7"/>
      <c r="H31" s="7">
        <f>SUM(H10:H19)-H13</f>
        <v>170532</v>
      </c>
      <c r="I31" s="7">
        <f>SUM(I10:I19)-I13</f>
        <v>884010</v>
      </c>
      <c r="J31" s="27"/>
    </row>
    <row r="32" spans="1:10" s="3" customFormat="1" ht="9" customHeight="1">
      <c r="A32" s="32" t="s">
        <v>53</v>
      </c>
      <c r="B32" s="7">
        <f>SUM(B20:B23)</f>
        <v>90625</v>
      </c>
      <c r="C32" s="7">
        <f>SUM(C20:C23)</f>
        <v>609915</v>
      </c>
      <c r="D32" s="7"/>
      <c r="E32" s="7">
        <f>SUM(E20:E23)</f>
        <v>40119</v>
      </c>
      <c r="F32" s="7">
        <f>SUM(F20:F23)</f>
        <v>193745</v>
      </c>
      <c r="G32" s="7"/>
      <c r="H32" s="7">
        <f>SUM(H20:H23)</f>
        <v>130744</v>
      </c>
      <c r="I32" s="7">
        <f>SUM(I20:I23)</f>
        <v>803660</v>
      </c>
      <c r="J32" s="27"/>
    </row>
    <row r="33" spans="1:14" s="3" customFormat="1" ht="9" customHeight="1">
      <c r="A33" s="32" t="s">
        <v>39</v>
      </c>
      <c r="B33" s="7">
        <f>SUM(B24:B29)</f>
        <v>310700</v>
      </c>
      <c r="C33" s="7">
        <f aca="true" t="shared" si="3" ref="C33:I33">SUM(C24:C29)</f>
        <v>2240900</v>
      </c>
      <c r="D33" s="7"/>
      <c r="E33" s="7">
        <f t="shared" si="3"/>
        <v>76188</v>
      </c>
      <c r="F33" s="7">
        <f t="shared" si="3"/>
        <v>404129</v>
      </c>
      <c r="G33" s="7"/>
      <c r="H33" s="7">
        <f t="shared" si="3"/>
        <v>386888</v>
      </c>
      <c r="I33" s="7">
        <f t="shared" si="3"/>
        <v>2645029</v>
      </c>
      <c r="N33" s="7"/>
    </row>
    <row r="34" spans="1:14" s="3" customFormat="1" ht="9" customHeight="1">
      <c r="A34" s="7"/>
      <c r="B34" s="7"/>
      <c r="C34" s="7"/>
      <c r="E34" s="7"/>
      <c r="F34" s="7"/>
      <c r="H34" s="7"/>
      <c r="I34" s="7"/>
      <c r="N34" s="7"/>
    </row>
    <row r="35" spans="1:16" s="3" customFormat="1" ht="12" customHeight="1">
      <c r="A35" s="97" t="s">
        <v>0</v>
      </c>
      <c r="B35" s="97"/>
      <c r="C35" s="97"/>
      <c r="D35" s="97"/>
      <c r="E35" s="97"/>
      <c r="F35" s="97"/>
      <c r="G35" s="97"/>
      <c r="H35" s="97"/>
      <c r="I35" s="97"/>
      <c r="J35" s="2"/>
      <c r="K35" s="2"/>
      <c r="L35" s="2"/>
      <c r="M35" s="2"/>
      <c r="N35" s="29"/>
      <c r="O35" s="2"/>
      <c r="P35" s="2"/>
    </row>
    <row r="36" spans="2:16" s="3" customFormat="1" ht="9" customHeight="1">
      <c r="B36" s="26"/>
      <c r="H36" s="58"/>
      <c r="I36" s="58"/>
      <c r="J36" s="2"/>
      <c r="K36" s="2"/>
      <c r="L36" s="2"/>
      <c r="M36" s="2"/>
      <c r="N36" s="29"/>
      <c r="O36" s="2"/>
      <c r="P36" s="2"/>
    </row>
    <row r="37" spans="1:16" ht="9" customHeight="1">
      <c r="A37" s="89" t="s">
        <v>3</v>
      </c>
      <c r="B37" s="65" t="s">
        <v>43</v>
      </c>
      <c r="C37" s="63" t="s">
        <v>43</v>
      </c>
      <c r="D37" s="56"/>
      <c r="E37" s="56">
        <v>50</v>
      </c>
      <c r="F37" s="56">
        <v>160</v>
      </c>
      <c r="G37" s="56"/>
      <c r="H37" s="63" t="s">
        <v>56</v>
      </c>
      <c r="I37" s="56">
        <v>160</v>
      </c>
      <c r="J37" s="64"/>
      <c r="K37" s="2"/>
      <c r="L37" s="2"/>
      <c r="M37" s="2"/>
      <c r="N37" s="2"/>
      <c r="O37" s="2"/>
      <c r="P37" s="2"/>
    </row>
    <row r="38" spans="1:16" ht="9" customHeight="1">
      <c r="A38" s="89" t="s">
        <v>17</v>
      </c>
      <c r="B38" s="56">
        <v>50</v>
      </c>
      <c r="C38" s="56">
        <v>1000</v>
      </c>
      <c r="D38" s="56"/>
      <c r="E38" s="56" t="s">
        <v>43</v>
      </c>
      <c r="F38" s="56" t="s">
        <v>43</v>
      </c>
      <c r="G38" s="56"/>
      <c r="H38" s="56">
        <v>50</v>
      </c>
      <c r="I38" s="56">
        <v>1000</v>
      </c>
      <c r="J38" s="2"/>
      <c r="K38" s="2"/>
      <c r="L38" s="2"/>
      <c r="M38" s="2"/>
      <c r="N38" s="2"/>
      <c r="O38" s="2"/>
      <c r="P38" s="2"/>
    </row>
    <row r="39" spans="1:16" ht="9" customHeight="1">
      <c r="A39" s="90" t="s">
        <v>42</v>
      </c>
      <c r="B39" s="56">
        <v>19</v>
      </c>
      <c r="C39" s="56">
        <v>285</v>
      </c>
      <c r="D39" s="56"/>
      <c r="E39" s="56" t="s">
        <v>43</v>
      </c>
      <c r="F39" s="56" t="s">
        <v>43</v>
      </c>
      <c r="G39" s="56"/>
      <c r="H39" s="56">
        <v>19</v>
      </c>
      <c r="I39" s="56">
        <v>285</v>
      </c>
      <c r="J39" s="2"/>
      <c r="K39" s="2"/>
      <c r="L39" s="2"/>
      <c r="M39" s="2"/>
      <c r="N39" s="2"/>
      <c r="O39" s="2"/>
      <c r="P39" s="2"/>
    </row>
    <row r="40" spans="1:16" ht="9" customHeight="1">
      <c r="A40" s="89" t="s">
        <v>4</v>
      </c>
      <c r="B40" s="56">
        <v>500</v>
      </c>
      <c r="C40" s="56">
        <v>13500</v>
      </c>
      <c r="D40" s="56"/>
      <c r="E40" s="56">
        <v>2700</v>
      </c>
      <c r="F40" s="56">
        <v>68750</v>
      </c>
      <c r="G40" s="56"/>
      <c r="H40" s="56">
        <v>3200</v>
      </c>
      <c r="I40" s="56">
        <v>82250</v>
      </c>
      <c r="J40" s="2"/>
      <c r="K40" s="2"/>
      <c r="L40" s="2"/>
      <c r="M40" s="2"/>
      <c r="N40" s="2"/>
      <c r="O40" s="2"/>
      <c r="P40" s="2"/>
    </row>
    <row r="41" spans="1:16" ht="9" customHeight="1">
      <c r="A41" s="91" t="s">
        <v>20</v>
      </c>
      <c r="B41" s="56" t="s">
        <v>43</v>
      </c>
      <c r="C41" s="56" t="s">
        <v>43</v>
      </c>
      <c r="D41" s="56"/>
      <c r="E41" s="56" t="s">
        <v>43</v>
      </c>
      <c r="F41" s="56" t="s">
        <v>43</v>
      </c>
      <c r="G41" s="56"/>
      <c r="H41" s="56" t="s">
        <v>43</v>
      </c>
      <c r="I41" s="56" t="s">
        <v>43</v>
      </c>
      <c r="J41" s="2"/>
      <c r="K41" s="2"/>
      <c r="L41" s="2"/>
      <c r="M41" s="2"/>
      <c r="N41" s="2"/>
      <c r="O41" s="2"/>
      <c r="P41" s="2"/>
    </row>
    <row r="42" spans="1:16" ht="9" customHeight="1">
      <c r="A42" s="89" t="s">
        <v>5</v>
      </c>
      <c r="B42" s="56">
        <v>250</v>
      </c>
      <c r="C42" s="56">
        <v>3400</v>
      </c>
      <c r="D42" s="56"/>
      <c r="E42" s="56">
        <v>625</v>
      </c>
      <c r="F42" s="56">
        <v>9855</v>
      </c>
      <c r="G42" s="56"/>
      <c r="H42" s="56">
        <v>875</v>
      </c>
      <c r="I42" s="56">
        <v>13255</v>
      </c>
      <c r="J42" s="2"/>
      <c r="K42" s="2"/>
      <c r="L42" s="2"/>
      <c r="M42" s="2"/>
      <c r="N42" s="2"/>
      <c r="O42" s="2"/>
      <c r="P42" s="2"/>
    </row>
    <row r="43" spans="1:16" ht="9" customHeight="1">
      <c r="A43" s="89" t="s">
        <v>6</v>
      </c>
      <c r="B43" s="56" t="s">
        <v>43</v>
      </c>
      <c r="C43" s="56" t="s">
        <v>43</v>
      </c>
      <c r="D43" s="56"/>
      <c r="E43" s="56">
        <v>60</v>
      </c>
      <c r="F43" s="56">
        <v>1136</v>
      </c>
      <c r="G43" s="56"/>
      <c r="H43" s="56">
        <v>60</v>
      </c>
      <c r="I43" s="56">
        <v>1136</v>
      </c>
      <c r="J43" s="2"/>
      <c r="K43" s="2"/>
      <c r="L43" s="2"/>
      <c r="M43" s="2"/>
      <c r="N43" s="2"/>
      <c r="O43" s="2"/>
      <c r="P43" s="2"/>
    </row>
    <row r="44" spans="1:18" s="30" customFormat="1" ht="9" customHeight="1">
      <c r="A44" s="89" t="s">
        <v>7</v>
      </c>
      <c r="B44" s="56">
        <v>40</v>
      </c>
      <c r="C44" s="56">
        <v>7</v>
      </c>
      <c r="D44" s="57"/>
      <c r="E44" s="56" t="s">
        <v>43</v>
      </c>
      <c r="F44" s="56" t="s">
        <v>43</v>
      </c>
      <c r="G44" s="57"/>
      <c r="H44" s="56">
        <v>40</v>
      </c>
      <c r="I44" s="56">
        <v>7</v>
      </c>
      <c r="J44" s="2"/>
      <c r="K44" s="2"/>
      <c r="L44" s="2"/>
      <c r="M44" s="2"/>
      <c r="N44" s="2"/>
      <c r="O44" s="2"/>
      <c r="P44" s="2"/>
      <c r="Q44" s="55"/>
      <c r="R44" s="55"/>
    </row>
    <row r="45" spans="1:18" s="30" customFormat="1" ht="9" customHeight="1">
      <c r="A45" s="89" t="s">
        <v>8</v>
      </c>
      <c r="B45" s="56">
        <v>1000</v>
      </c>
      <c r="C45" s="56">
        <v>8240</v>
      </c>
      <c r="D45" s="57"/>
      <c r="E45" s="56">
        <v>450</v>
      </c>
      <c r="F45" s="56">
        <v>2300</v>
      </c>
      <c r="G45" s="57"/>
      <c r="H45" s="56">
        <v>1450</v>
      </c>
      <c r="I45" s="56">
        <v>10540</v>
      </c>
      <c r="J45" s="2"/>
      <c r="K45" s="2"/>
      <c r="L45" s="2"/>
      <c r="M45" s="2"/>
      <c r="N45" s="2"/>
      <c r="O45" s="2"/>
      <c r="P45" s="2"/>
      <c r="Q45" s="55"/>
      <c r="R45" s="55"/>
    </row>
    <row r="46" spans="1:18" s="30" customFormat="1" ht="9" customHeight="1">
      <c r="A46" s="89" t="s">
        <v>9</v>
      </c>
      <c r="B46" s="56">
        <v>100</v>
      </c>
      <c r="C46" s="56">
        <v>390</v>
      </c>
      <c r="D46" s="57"/>
      <c r="E46" s="56">
        <v>100</v>
      </c>
      <c r="F46" s="56">
        <v>786</v>
      </c>
      <c r="G46" s="57"/>
      <c r="H46" s="56">
        <v>200</v>
      </c>
      <c r="I46" s="56">
        <v>1176</v>
      </c>
      <c r="J46" s="2"/>
      <c r="K46" s="2"/>
      <c r="L46" s="2"/>
      <c r="M46" s="2"/>
      <c r="N46" s="2"/>
      <c r="O46" s="2"/>
      <c r="P46" s="2"/>
      <c r="Q46" s="55"/>
      <c r="R46" s="55"/>
    </row>
    <row r="47" spans="1:18" s="30" customFormat="1" ht="9" customHeight="1">
      <c r="A47" s="89" t="s">
        <v>10</v>
      </c>
      <c r="B47" s="56">
        <v>460</v>
      </c>
      <c r="C47" s="56">
        <v>4050</v>
      </c>
      <c r="D47" s="57"/>
      <c r="E47" s="56">
        <v>1100</v>
      </c>
      <c r="F47" s="56">
        <v>7000</v>
      </c>
      <c r="G47" s="57"/>
      <c r="H47" s="56">
        <v>1560</v>
      </c>
      <c r="I47" s="56">
        <v>11050</v>
      </c>
      <c r="J47" s="2"/>
      <c r="K47" s="2"/>
      <c r="L47" s="2"/>
      <c r="M47" s="2"/>
      <c r="N47" s="2"/>
      <c r="O47" s="2"/>
      <c r="P47" s="2"/>
      <c r="Q47" s="55"/>
      <c r="R47" s="55"/>
    </row>
    <row r="48" spans="1:16" ht="9" customHeight="1">
      <c r="A48" s="89" t="s">
        <v>11</v>
      </c>
      <c r="B48" s="56">
        <v>1700</v>
      </c>
      <c r="C48" s="56">
        <v>38000</v>
      </c>
      <c r="D48" s="36"/>
      <c r="E48" s="56">
        <v>20</v>
      </c>
      <c r="F48" s="56">
        <v>160</v>
      </c>
      <c r="G48" s="36"/>
      <c r="H48" s="56">
        <v>1720</v>
      </c>
      <c r="I48" s="56">
        <v>38160</v>
      </c>
      <c r="J48" s="2"/>
      <c r="K48" s="2"/>
      <c r="L48" s="2"/>
      <c r="M48" s="2"/>
      <c r="N48" s="2"/>
      <c r="O48" s="2"/>
      <c r="P48" s="2"/>
    </row>
    <row r="49" spans="1:16" ht="9" customHeight="1">
      <c r="A49" s="92" t="s">
        <v>15</v>
      </c>
      <c r="B49" s="57">
        <f>SUM(B37:B48)</f>
        <v>4119</v>
      </c>
      <c r="C49" s="57">
        <f>SUM(C37:C48)</f>
        <v>68872</v>
      </c>
      <c r="D49" s="62"/>
      <c r="E49" s="57">
        <f>SUM(E37:E48)</f>
        <v>5105</v>
      </c>
      <c r="F49" s="57">
        <f>SUM(F37:F48)</f>
        <v>90147</v>
      </c>
      <c r="G49" s="62"/>
      <c r="H49" s="57">
        <f>SUM(B49+E49)</f>
        <v>9224</v>
      </c>
      <c r="I49" s="57">
        <f>SUM(C49+F49)</f>
        <v>159019</v>
      </c>
      <c r="J49" s="2"/>
      <c r="K49" s="2"/>
      <c r="L49" s="2"/>
      <c r="M49" s="2"/>
      <c r="N49" s="2"/>
      <c r="O49" s="2"/>
      <c r="P49" s="2"/>
    </row>
    <row r="50" spans="1:16" ht="9" customHeight="1">
      <c r="A50" s="92" t="s">
        <v>54</v>
      </c>
      <c r="B50" s="57">
        <f>SUM(B37:B41)</f>
        <v>569</v>
      </c>
      <c r="C50" s="57">
        <f>SUM(C37:C41)</f>
        <v>14785</v>
      </c>
      <c r="D50" s="62"/>
      <c r="E50" s="57">
        <f>SUM(E37:E41)</f>
        <v>2750</v>
      </c>
      <c r="F50" s="57">
        <f>SUM(F37:F41)</f>
        <v>68910</v>
      </c>
      <c r="G50" s="62"/>
      <c r="H50" s="57">
        <f>SUM(B50+E50)</f>
        <v>3319</v>
      </c>
      <c r="I50" s="57">
        <f>SUM(C50+F50)</f>
        <v>83695</v>
      </c>
      <c r="J50" s="2"/>
      <c r="K50" s="2"/>
      <c r="L50" s="2"/>
      <c r="M50" s="2"/>
      <c r="N50" s="2"/>
      <c r="O50" s="2"/>
      <c r="P50" s="2"/>
    </row>
    <row r="51" spans="1:16" ht="9" customHeight="1">
      <c r="A51" s="92" t="s">
        <v>53</v>
      </c>
      <c r="B51" s="57">
        <f>SUM(B42:B45)</f>
        <v>1290</v>
      </c>
      <c r="C51" s="57">
        <f>SUM(C42:C45)</f>
        <v>11647</v>
      </c>
      <c r="D51" s="62"/>
      <c r="E51" s="57">
        <f>SUM(E42:E45)</f>
        <v>1135</v>
      </c>
      <c r="F51" s="57">
        <f>SUM(F42:F45)</f>
        <v>13291</v>
      </c>
      <c r="G51" s="62"/>
      <c r="H51" s="57">
        <f>SUM(H42:H45)</f>
        <v>2425</v>
      </c>
      <c r="I51" s="57">
        <f>SUM(I42:I45)</f>
        <v>24938</v>
      </c>
      <c r="J51" s="2"/>
      <c r="K51" s="2"/>
      <c r="L51" s="2"/>
      <c r="M51" s="2"/>
      <c r="N51" s="2"/>
      <c r="O51" s="2"/>
      <c r="P51" s="2"/>
    </row>
    <row r="52" spans="1:16" ht="9" customHeight="1">
      <c r="A52" s="92" t="s">
        <v>39</v>
      </c>
      <c r="B52" s="57">
        <f>SUM(B46:B48)</f>
        <v>2260</v>
      </c>
      <c r="C52" s="57">
        <f>SUM(C46:C48)</f>
        <v>42440</v>
      </c>
      <c r="D52" s="62"/>
      <c r="E52" s="57">
        <f>SUM(E46:E48)</f>
        <v>1220</v>
      </c>
      <c r="F52" s="57">
        <f>SUM(F46:F48)</f>
        <v>7946</v>
      </c>
      <c r="G52" s="62"/>
      <c r="H52" s="57">
        <f>SUM(H46:H48)</f>
        <v>3480</v>
      </c>
      <c r="I52" s="57">
        <f>SUM(I46:I48)</f>
        <v>50386</v>
      </c>
      <c r="J52" s="2"/>
      <c r="K52" s="2"/>
      <c r="L52" s="2"/>
      <c r="M52" s="2"/>
      <c r="N52" s="2"/>
      <c r="O52" s="2"/>
      <c r="P52" s="2"/>
    </row>
    <row r="53" spans="1:16" ht="9" customHeight="1">
      <c r="A53" s="19"/>
      <c r="B53" s="19"/>
      <c r="C53" s="19"/>
      <c r="D53" s="19"/>
      <c r="E53" s="19"/>
      <c r="F53" s="19"/>
      <c r="G53" s="19"/>
      <c r="H53" s="59"/>
      <c r="I53" s="59"/>
      <c r="J53" s="2"/>
      <c r="K53" s="2"/>
      <c r="L53" s="2"/>
      <c r="M53" s="2"/>
      <c r="N53" s="2"/>
      <c r="O53" s="2"/>
      <c r="P53" s="2"/>
    </row>
  </sheetData>
  <mergeCells count="7">
    <mergeCell ref="K9:P9"/>
    <mergeCell ref="A35:I35"/>
    <mergeCell ref="A8:I8"/>
    <mergeCell ref="B5:C5"/>
    <mergeCell ref="E5:F5"/>
    <mergeCell ref="A5:A6"/>
    <mergeCell ref="H5:I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&amp;L-&amp;C168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4">
      <selection activeCell="A36" sqref="A36:I36"/>
    </sheetView>
  </sheetViews>
  <sheetFormatPr defaultColWidth="9.140625" defaultRowHeight="12.75"/>
  <cols>
    <col min="1" max="1" width="17.8515625" style="20" customWidth="1"/>
    <col min="2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35"/>
      <c r="C7" s="35"/>
      <c r="D7" s="36"/>
      <c r="E7" s="35"/>
      <c r="F7" s="35"/>
      <c r="G7" s="35"/>
      <c r="H7" s="35"/>
      <c r="I7" s="35"/>
    </row>
    <row r="8" spans="1:9" s="3" customFormat="1" ht="21" customHeight="1">
      <c r="A8" s="93" t="s">
        <v>35</v>
      </c>
      <c r="B8" s="93"/>
      <c r="C8" s="93"/>
      <c r="D8" s="93"/>
      <c r="E8" s="93"/>
      <c r="F8" s="93"/>
      <c r="G8" s="93"/>
      <c r="H8" s="93"/>
      <c r="I8" s="93"/>
    </row>
    <row r="9" spans="1:9" s="3" customFormat="1" ht="9" customHeight="1">
      <c r="A9" s="27" t="s">
        <v>2</v>
      </c>
      <c r="B9" s="2">
        <v>75</v>
      </c>
      <c r="C9" s="2">
        <v>412</v>
      </c>
      <c r="D9" s="2"/>
      <c r="E9" s="28">
        <v>60</v>
      </c>
      <c r="F9" s="28">
        <v>300</v>
      </c>
      <c r="G9" s="2"/>
      <c r="H9" s="2">
        <f>+B9+E9</f>
        <v>135</v>
      </c>
      <c r="I9" s="2">
        <f>+C9+F9</f>
        <v>712</v>
      </c>
    </row>
    <row r="10" spans="1:9" s="3" customFormat="1" ht="9" customHeight="1">
      <c r="A10" s="27" t="s">
        <v>47</v>
      </c>
      <c r="B10" s="2">
        <v>6</v>
      </c>
      <c r="C10" s="2">
        <v>30</v>
      </c>
      <c r="D10" s="2"/>
      <c r="E10" s="28">
        <v>0</v>
      </c>
      <c r="F10" s="28">
        <v>0</v>
      </c>
      <c r="G10" s="2"/>
      <c r="H10" s="2">
        <f aca="true" t="shared" si="0" ref="H10:H18">+B10+E10</f>
        <v>6</v>
      </c>
      <c r="I10" s="2">
        <f aca="true" t="shared" si="1" ref="I10:I18">+C10+F10</f>
        <v>30</v>
      </c>
    </row>
    <row r="11" spans="1:9" s="3" customFormat="1" ht="9" customHeight="1">
      <c r="A11" s="27" t="s">
        <v>3</v>
      </c>
      <c r="B11" s="2">
        <f>130+171</f>
        <v>301</v>
      </c>
      <c r="C11" s="2">
        <f>125+797</f>
        <v>922</v>
      </c>
      <c r="D11" s="2"/>
      <c r="E11" s="28">
        <v>0</v>
      </c>
      <c r="F11" s="28">
        <v>0</v>
      </c>
      <c r="G11" s="2"/>
      <c r="H11" s="2">
        <f t="shared" si="0"/>
        <v>301</v>
      </c>
      <c r="I11" s="2">
        <f t="shared" si="1"/>
        <v>922</v>
      </c>
    </row>
    <row r="12" spans="1:9" s="3" customFormat="1" ht="9" customHeight="1">
      <c r="A12" s="27" t="s">
        <v>17</v>
      </c>
      <c r="B12" s="2">
        <f>40+300</f>
        <v>340</v>
      </c>
      <c r="C12" s="2">
        <f>40+360</f>
        <v>400</v>
      </c>
      <c r="D12" s="2"/>
      <c r="E12" s="28">
        <v>0</v>
      </c>
      <c r="F12" s="28">
        <v>0</v>
      </c>
      <c r="G12" s="2"/>
      <c r="H12" s="2">
        <f t="shared" si="0"/>
        <v>340</v>
      </c>
      <c r="I12" s="2">
        <f t="shared" si="1"/>
        <v>400</v>
      </c>
    </row>
    <row r="13" spans="1:9" s="3" customFormat="1" ht="9" customHeight="1">
      <c r="A13" s="37" t="s">
        <v>41</v>
      </c>
      <c r="B13" s="2">
        <v>5</v>
      </c>
      <c r="C13" s="2">
        <v>32</v>
      </c>
      <c r="D13" s="2"/>
      <c r="E13" s="28">
        <v>0</v>
      </c>
      <c r="F13" s="28">
        <v>0</v>
      </c>
      <c r="G13" s="2"/>
      <c r="H13" s="2">
        <f t="shared" si="0"/>
        <v>5</v>
      </c>
      <c r="I13" s="2">
        <f t="shared" si="1"/>
        <v>32</v>
      </c>
    </row>
    <row r="14" spans="1:9" s="3" customFormat="1" ht="9" customHeight="1">
      <c r="A14" s="27" t="s">
        <v>4</v>
      </c>
      <c r="B14" s="2">
        <f>450+1200</f>
        <v>1650</v>
      </c>
      <c r="C14" s="2">
        <f>2808+6800</f>
        <v>9608</v>
      </c>
      <c r="D14" s="2"/>
      <c r="E14" s="28">
        <v>0</v>
      </c>
      <c r="F14" s="28">
        <v>0</v>
      </c>
      <c r="G14" s="2"/>
      <c r="H14" s="2">
        <f t="shared" si="0"/>
        <v>1650</v>
      </c>
      <c r="I14" s="2">
        <f t="shared" si="1"/>
        <v>9608</v>
      </c>
    </row>
    <row r="15" spans="1:9" s="3" customFormat="1" ht="9" customHeight="1">
      <c r="A15" s="27" t="s">
        <v>8</v>
      </c>
      <c r="B15" s="2">
        <f>101+1101</f>
        <v>1202</v>
      </c>
      <c r="C15" s="2">
        <f>403+4503</f>
        <v>4906</v>
      </c>
      <c r="D15" s="2"/>
      <c r="E15" s="28">
        <v>0</v>
      </c>
      <c r="F15" s="28">
        <v>0</v>
      </c>
      <c r="G15" s="2"/>
      <c r="H15" s="2">
        <f t="shared" si="0"/>
        <v>1202</v>
      </c>
      <c r="I15" s="2">
        <f t="shared" si="1"/>
        <v>4906</v>
      </c>
    </row>
    <row r="16" spans="1:9" s="3" customFormat="1" ht="9" customHeight="1">
      <c r="A16" s="27" t="s">
        <v>10</v>
      </c>
      <c r="B16" s="2">
        <f>35+450</f>
        <v>485</v>
      </c>
      <c r="C16" s="2">
        <f>202+1690</f>
        <v>1892</v>
      </c>
      <c r="D16" s="2"/>
      <c r="E16" s="28">
        <v>0</v>
      </c>
      <c r="F16" s="28">
        <v>0</v>
      </c>
      <c r="G16" s="2"/>
      <c r="H16" s="2">
        <f t="shared" si="0"/>
        <v>485</v>
      </c>
      <c r="I16" s="2">
        <f t="shared" si="1"/>
        <v>1892</v>
      </c>
    </row>
    <row r="17" spans="1:9" s="3" customFormat="1" ht="9" customHeight="1">
      <c r="A17" s="27" t="s">
        <v>12</v>
      </c>
      <c r="B17" s="2">
        <v>2</v>
      </c>
      <c r="C17" s="2">
        <v>8</v>
      </c>
      <c r="D17" s="2"/>
      <c r="E17" s="28">
        <v>0</v>
      </c>
      <c r="F17" s="28">
        <v>0</v>
      </c>
      <c r="G17" s="2"/>
      <c r="H17" s="2">
        <f>+B17+E17</f>
        <v>2</v>
      </c>
      <c r="I17" s="2">
        <f>+C17+F17</f>
        <v>8</v>
      </c>
    </row>
    <row r="18" spans="1:9" s="3" customFormat="1" ht="9" customHeight="1">
      <c r="A18" s="27" t="s">
        <v>14</v>
      </c>
      <c r="B18" s="2">
        <v>5</v>
      </c>
      <c r="C18" s="2">
        <v>30</v>
      </c>
      <c r="D18" s="2"/>
      <c r="E18" s="28">
        <v>0</v>
      </c>
      <c r="F18" s="28">
        <v>0</v>
      </c>
      <c r="G18" s="2"/>
      <c r="H18" s="2">
        <f t="shared" si="0"/>
        <v>5</v>
      </c>
      <c r="I18" s="2">
        <f t="shared" si="1"/>
        <v>30</v>
      </c>
    </row>
    <row r="19" spans="1:9" s="3" customFormat="1" ht="9" customHeight="1">
      <c r="A19" s="32" t="s">
        <v>15</v>
      </c>
      <c r="B19" s="29">
        <f>SUM(B9:B18)</f>
        <v>4071</v>
      </c>
      <c r="C19" s="29">
        <f>SUM(C9:C18)</f>
        <v>18240</v>
      </c>
      <c r="D19" s="29"/>
      <c r="E19" s="29">
        <f>SUM(E9:E18)</f>
        <v>60</v>
      </c>
      <c r="F19" s="29">
        <f>SUM(F9:F18)</f>
        <v>300</v>
      </c>
      <c r="G19" s="29"/>
      <c r="H19" s="29">
        <f>SUM(H9:H18)</f>
        <v>4131</v>
      </c>
      <c r="I19" s="29">
        <f>SUM(I9:I18)</f>
        <v>18540</v>
      </c>
    </row>
    <row r="20" spans="1:9" s="3" customFormat="1" ht="9" customHeight="1">
      <c r="A20" s="32" t="s">
        <v>54</v>
      </c>
      <c r="B20" s="29">
        <f>SUM(B9:B14)</f>
        <v>2377</v>
      </c>
      <c r="C20" s="29">
        <f>SUM(C9:C14)</f>
        <v>11404</v>
      </c>
      <c r="D20" s="29"/>
      <c r="E20" s="29">
        <f>SUM(E9:E14)</f>
        <v>60</v>
      </c>
      <c r="F20" s="29">
        <f>SUM(F9:F14)</f>
        <v>300</v>
      </c>
      <c r="G20" s="29"/>
      <c r="H20" s="29">
        <f>SUM(H9:H14)</f>
        <v>2437</v>
      </c>
      <c r="I20" s="29">
        <f>SUM(I9:I14)</f>
        <v>11704</v>
      </c>
    </row>
    <row r="21" spans="1:9" s="3" customFormat="1" ht="9" customHeight="1">
      <c r="A21" s="32" t="s">
        <v>53</v>
      </c>
      <c r="B21" s="29">
        <f>SUM(B15:B15)</f>
        <v>1202</v>
      </c>
      <c r="C21" s="29">
        <f>SUM(C15:C15)</f>
        <v>4906</v>
      </c>
      <c r="D21" s="29"/>
      <c r="E21" s="29">
        <f>SUM(E15:E15)</f>
        <v>0</v>
      </c>
      <c r="F21" s="29">
        <f>SUM(F15:F15)</f>
        <v>0</v>
      </c>
      <c r="G21" s="29"/>
      <c r="H21" s="29">
        <f>SUM(H15:H15)</f>
        <v>1202</v>
      </c>
      <c r="I21" s="29">
        <f>SUM(I15:I15)</f>
        <v>4906</v>
      </c>
    </row>
    <row r="22" spans="1:9" s="3" customFormat="1" ht="9" customHeight="1">
      <c r="A22" s="32" t="s">
        <v>39</v>
      </c>
      <c r="B22" s="29">
        <f>SUM(B16:B18)</f>
        <v>492</v>
      </c>
      <c r="C22" s="29">
        <f>SUM(C16:C18)</f>
        <v>1930</v>
      </c>
      <c r="D22" s="29"/>
      <c r="E22" s="29">
        <f>SUM(E16:E18)</f>
        <v>0</v>
      </c>
      <c r="F22" s="29">
        <f>SUM(F16:F18)</f>
        <v>0</v>
      </c>
      <c r="G22" s="29"/>
      <c r="H22" s="29">
        <f>SUM(H16:H18)</f>
        <v>492</v>
      </c>
      <c r="I22" s="29">
        <f>SUM(I16:I18)</f>
        <v>1930</v>
      </c>
    </row>
    <row r="23" spans="1:9" s="3" customFormat="1" ht="9" customHeight="1">
      <c r="A23" s="27"/>
      <c r="B23" s="2"/>
      <c r="C23" s="2"/>
      <c r="D23" s="2"/>
      <c r="E23" s="2"/>
      <c r="F23" s="2"/>
      <c r="G23" s="2"/>
      <c r="H23" s="2"/>
      <c r="I23" s="2"/>
    </row>
    <row r="24" spans="1:9" s="3" customFormat="1" ht="23.25" customHeight="1">
      <c r="A24" s="93" t="s">
        <v>36</v>
      </c>
      <c r="B24" s="93"/>
      <c r="C24" s="93"/>
      <c r="D24" s="93"/>
      <c r="E24" s="93"/>
      <c r="F24" s="93"/>
      <c r="G24" s="93"/>
      <c r="H24" s="93"/>
      <c r="I24" s="93"/>
    </row>
    <row r="25" spans="1:9" s="3" customFormat="1" ht="9" customHeight="1">
      <c r="A25" s="27" t="s">
        <v>47</v>
      </c>
      <c r="B25" s="2">
        <v>6</v>
      </c>
      <c r="C25" s="2">
        <v>30</v>
      </c>
      <c r="D25" s="2"/>
      <c r="E25" s="3">
        <v>0</v>
      </c>
      <c r="F25" s="3">
        <v>0</v>
      </c>
      <c r="G25" s="2"/>
      <c r="H25" s="2">
        <f aca="true" t="shared" si="2" ref="H25:I30">+B25+E25</f>
        <v>6</v>
      </c>
      <c r="I25" s="2">
        <f t="shared" si="2"/>
        <v>30</v>
      </c>
    </row>
    <row r="26" spans="1:9" s="3" customFormat="1" ht="9" customHeight="1">
      <c r="A26" s="27" t="s">
        <v>3</v>
      </c>
      <c r="B26" s="2">
        <v>171</v>
      </c>
      <c r="C26" s="2">
        <v>797</v>
      </c>
      <c r="D26" s="2"/>
      <c r="E26" s="3">
        <v>0</v>
      </c>
      <c r="F26" s="3">
        <v>0</v>
      </c>
      <c r="G26" s="2"/>
      <c r="H26" s="2">
        <f t="shared" si="2"/>
        <v>171</v>
      </c>
      <c r="I26" s="2">
        <f t="shared" si="2"/>
        <v>797</v>
      </c>
    </row>
    <row r="27" spans="1:9" s="3" customFormat="1" ht="9" customHeight="1">
      <c r="A27" s="27" t="s">
        <v>17</v>
      </c>
      <c r="B27" s="2">
        <v>300</v>
      </c>
      <c r="C27" s="2">
        <v>360</v>
      </c>
      <c r="D27" s="2"/>
      <c r="E27" s="3">
        <v>0</v>
      </c>
      <c r="F27" s="3">
        <v>0</v>
      </c>
      <c r="G27" s="2"/>
      <c r="H27" s="2">
        <f t="shared" si="2"/>
        <v>300</v>
      </c>
      <c r="I27" s="2">
        <f t="shared" si="2"/>
        <v>360</v>
      </c>
    </row>
    <row r="28" spans="1:9" s="3" customFormat="1" ht="9" customHeight="1">
      <c r="A28" s="27" t="s">
        <v>4</v>
      </c>
      <c r="B28" s="2">
        <v>1200</v>
      </c>
      <c r="C28" s="2">
        <v>6800</v>
      </c>
      <c r="D28" s="2"/>
      <c r="E28" s="3">
        <v>0</v>
      </c>
      <c r="F28" s="3">
        <v>0</v>
      </c>
      <c r="G28" s="2"/>
      <c r="H28" s="2">
        <f t="shared" si="2"/>
        <v>1200</v>
      </c>
      <c r="I28" s="2">
        <f t="shared" si="2"/>
        <v>6800</v>
      </c>
    </row>
    <row r="29" spans="1:9" s="3" customFormat="1" ht="9" customHeight="1">
      <c r="A29" s="38" t="s">
        <v>8</v>
      </c>
      <c r="B29" s="2">
        <v>1101</v>
      </c>
      <c r="C29" s="2">
        <v>4503</v>
      </c>
      <c r="D29" s="2"/>
      <c r="E29" s="3">
        <v>0</v>
      </c>
      <c r="F29" s="3">
        <v>0</v>
      </c>
      <c r="G29" s="2"/>
      <c r="H29" s="2">
        <f t="shared" si="2"/>
        <v>1101</v>
      </c>
      <c r="I29" s="2">
        <f t="shared" si="2"/>
        <v>4503</v>
      </c>
    </row>
    <row r="30" spans="1:9" s="3" customFormat="1" ht="9" customHeight="1">
      <c r="A30" s="27" t="s">
        <v>10</v>
      </c>
      <c r="B30" s="2">
        <v>450</v>
      </c>
      <c r="C30" s="2">
        <v>1690</v>
      </c>
      <c r="D30" s="2"/>
      <c r="E30" s="3">
        <v>0</v>
      </c>
      <c r="F30" s="3">
        <v>0</v>
      </c>
      <c r="G30" s="2"/>
      <c r="H30" s="2">
        <f t="shared" si="2"/>
        <v>450</v>
      </c>
      <c r="I30" s="2">
        <f t="shared" si="2"/>
        <v>1690</v>
      </c>
    </row>
    <row r="31" spans="1:9" s="3" customFormat="1" ht="9" customHeight="1">
      <c r="A31" s="32" t="s">
        <v>15</v>
      </c>
      <c r="B31" s="29">
        <f>SUM(B25:B30)</f>
        <v>3228</v>
      </c>
      <c r="C31" s="29">
        <f>SUM(C25:C30)</f>
        <v>14180</v>
      </c>
      <c r="D31" s="29"/>
      <c r="E31" s="7">
        <v>0</v>
      </c>
      <c r="F31" s="7">
        <v>0</v>
      </c>
      <c r="G31" s="29"/>
      <c r="H31" s="29">
        <f>SUM(H25:H30)</f>
        <v>3228</v>
      </c>
      <c r="I31" s="29">
        <f>SUM(I25:I30)</f>
        <v>14180</v>
      </c>
    </row>
    <row r="32" spans="1:9" s="3" customFormat="1" ht="9" customHeight="1">
      <c r="A32" s="32" t="s">
        <v>54</v>
      </c>
      <c r="B32" s="29">
        <f>SUM(B25:B28)</f>
        <v>1677</v>
      </c>
      <c r="C32" s="29">
        <f>SUM(C25:C28)</f>
        <v>7987</v>
      </c>
      <c r="D32" s="29"/>
      <c r="E32" s="7">
        <v>0</v>
      </c>
      <c r="F32" s="7">
        <v>0</v>
      </c>
      <c r="G32" s="29"/>
      <c r="H32" s="29">
        <f>SUM(H25:H28)</f>
        <v>1677</v>
      </c>
      <c r="I32" s="29">
        <f>SUM(I25:I28)</f>
        <v>7987</v>
      </c>
    </row>
    <row r="33" spans="1:9" s="3" customFormat="1" ht="9" customHeight="1">
      <c r="A33" s="32" t="s">
        <v>53</v>
      </c>
      <c r="B33" s="29">
        <f>SUM(B29)</f>
        <v>1101</v>
      </c>
      <c r="C33" s="29">
        <f>SUM(C29)</f>
        <v>4503</v>
      </c>
      <c r="D33" s="29"/>
      <c r="E33" s="7">
        <v>0</v>
      </c>
      <c r="F33" s="7">
        <v>0</v>
      </c>
      <c r="G33" s="29"/>
      <c r="H33" s="29">
        <f>SUM(H29)</f>
        <v>1101</v>
      </c>
      <c r="I33" s="29">
        <f>SUM(I29)</f>
        <v>4503</v>
      </c>
    </row>
    <row r="34" spans="1:9" s="3" customFormat="1" ht="9" customHeight="1">
      <c r="A34" s="32" t="s">
        <v>39</v>
      </c>
      <c r="B34" s="29">
        <f>SUM(B30)</f>
        <v>450</v>
      </c>
      <c r="C34" s="29">
        <f>SUM(C30)</f>
        <v>1690</v>
      </c>
      <c r="D34" s="29"/>
      <c r="E34" s="7">
        <v>0</v>
      </c>
      <c r="F34" s="7">
        <v>0</v>
      </c>
      <c r="G34" s="29"/>
      <c r="H34" s="29">
        <f>SUM(H30)</f>
        <v>450</v>
      </c>
      <c r="I34" s="29">
        <f>SUM(I30)</f>
        <v>1690</v>
      </c>
    </row>
    <row r="35" spans="2:9" s="3" customFormat="1" ht="9" customHeight="1">
      <c r="B35" s="2"/>
      <c r="C35" s="2"/>
      <c r="D35" s="2"/>
      <c r="E35" s="2"/>
      <c r="F35" s="2"/>
      <c r="G35" s="2"/>
      <c r="H35" s="2"/>
      <c r="I35" s="2"/>
    </row>
    <row r="36" spans="1:9" s="10" customFormat="1" ht="27.75" customHeight="1">
      <c r="A36" s="93" t="s">
        <v>37</v>
      </c>
      <c r="B36" s="93"/>
      <c r="C36" s="93"/>
      <c r="D36" s="93"/>
      <c r="E36" s="93"/>
      <c r="F36" s="93"/>
      <c r="G36" s="93"/>
      <c r="H36" s="93"/>
      <c r="I36" s="93"/>
    </row>
    <row r="37" spans="1:9" s="10" customFormat="1" ht="9">
      <c r="A37" s="27" t="s">
        <v>2</v>
      </c>
      <c r="B37" s="2">
        <v>75</v>
      </c>
      <c r="C37" s="2">
        <v>412</v>
      </c>
      <c r="D37" s="2"/>
      <c r="E37" s="3">
        <v>60</v>
      </c>
      <c r="F37" s="3">
        <v>300</v>
      </c>
      <c r="G37" s="2"/>
      <c r="H37" s="2">
        <f>+B37+E37</f>
        <v>135</v>
      </c>
      <c r="I37" s="2">
        <f>+C37+F37</f>
        <v>712</v>
      </c>
    </row>
    <row r="38" spans="1:9" s="10" customFormat="1" ht="9">
      <c r="A38" s="27" t="s">
        <v>3</v>
      </c>
      <c r="B38" s="2">
        <v>130</v>
      </c>
      <c r="C38" s="2">
        <v>125</v>
      </c>
      <c r="D38" s="2"/>
      <c r="E38" s="3">
        <v>0</v>
      </c>
      <c r="F38" s="3">
        <v>0</v>
      </c>
      <c r="G38" s="2"/>
      <c r="H38" s="2">
        <f aca="true" t="shared" si="3" ref="H38:H45">+B38+E38</f>
        <v>130</v>
      </c>
      <c r="I38" s="2">
        <f aca="true" t="shared" si="4" ref="I38:I45">+C38+F38</f>
        <v>125</v>
      </c>
    </row>
    <row r="39" spans="1:9" s="10" customFormat="1" ht="9">
      <c r="A39" s="27" t="s">
        <v>17</v>
      </c>
      <c r="B39" s="2">
        <v>40</v>
      </c>
      <c r="C39" s="2">
        <v>40</v>
      </c>
      <c r="D39" s="2"/>
      <c r="E39" s="3">
        <v>0</v>
      </c>
      <c r="F39" s="3">
        <v>0</v>
      </c>
      <c r="G39" s="2"/>
      <c r="H39" s="2">
        <f t="shared" si="3"/>
        <v>40</v>
      </c>
      <c r="I39" s="2">
        <f t="shared" si="4"/>
        <v>40</v>
      </c>
    </row>
    <row r="40" spans="1:9" s="10" customFormat="1" ht="9">
      <c r="A40" s="37" t="s">
        <v>41</v>
      </c>
      <c r="B40" s="2">
        <v>5</v>
      </c>
      <c r="C40" s="2">
        <v>32</v>
      </c>
      <c r="D40" s="2"/>
      <c r="E40" s="3">
        <v>0</v>
      </c>
      <c r="F40" s="3">
        <v>0</v>
      </c>
      <c r="G40" s="2"/>
      <c r="H40" s="2">
        <f t="shared" si="3"/>
        <v>5</v>
      </c>
      <c r="I40" s="2">
        <f t="shared" si="4"/>
        <v>32</v>
      </c>
    </row>
    <row r="41" spans="1:9" s="10" customFormat="1" ht="9">
      <c r="A41" s="27" t="s">
        <v>4</v>
      </c>
      <c r="B41" s="2">
        <v>450</v>
      </c>
      <c r="C41" s="2">
        <v>2808</v>
      </c>
      <c r="D41" s="2"/>
      <c r="E41" s="3">
        <v>0</v>
      </c>
      <c r="F41" s="3">
        <v>0</v>
      </c>
      <c r="G41" s="2"/>
      <c r="H41" s="2">
        <f t="shared" si="3"/>
        <v>450</v>
      </c>
      <c r="I41" s="2">
        <f t="shared" si="4"/>
        <v>2808</v>
      </c>
    </row>
    <row r="42" spans="1:9" ht="9" customHeight="1">
      <c r="A42" s="27" t="s">
        <v>8</v>
      </c>
      <c r="B42" s="2">
        <v>101</v>
      </c>
      <c r="C42" s="2">
        <v>403</v>
      </c>
      <c r="D42" s="2"/>
      <c r="E42" s="3">
        <v>0</v>
      </c>
      <c r="F42" s="3">
        <v>0</v>
      </c>
      <c r="G42" s="2"/>
      <c r="H42" s="2">
        <f t="shared" si="3"/>
        <v>101</v>
      </c>
      <c r="I42" s="2">
        <f t="shared" si="4"/>
        <v>403</v>
      </c>
    </row>
    <row r="43" spans="1:9" ht="9" customHeight="1">
      <c r="A43" s="27" t="s">
        <v>10</v>
      </c>
      <c r="B43" s="2">
        <v>35</v>
      </c>
      <c r="C43" s="2">
        <v>202</v>
      </c>
      <c r="D43" s="2"/>
      <c r="E43" s="3">
        <v>0</v>
      </c>
      <c r="F43" s="3">
        <v>0</v>
      </c>
      <c r="G43" s="2"/>
      <c r="H43" s="2">
        <f t="shared" si="3"/>
        <v>35</v>
      </c>
      <c r="I43" s="2">
        <f t="shared" si="4"/>
        <v>202</v>
      </c>
    </row>
    <row r="44" spans="1:9" ht="9" customHeight="1">
      <c r="A44" s="27" t="s">
        <v>12</v>
      </c>
      <c r="B44" s="2">
        <v>2</v>
      </c>
      <c r="C44" s="2">
        <v>8</v>
      </c>
      <c r="D44" s="2"/>
      <c r="E44" s="3">
        <v>0</v>
      </c>
      <c r="F44" s="3">
        <v>0</v>
      </c>
      <c r="G44" s="2"/>
      <c r="H44" s="2">
        <f t="shared" si="3"/>
        <v>2</v>
      </c>
      <c r="I44" s="2">
        <f t="shared" si="4"/>
        <v>8</v>
      </c>
    </row>
    <row r="45" spans="1:9" ht="9" customHeight="1">
      <c r="A45" s="27" t="s">
        <v>14</v>
      </c>
      <c r="B45" s="2">
        <v>5</v>
      </c>
      <c r="C45" s="2">
        <v>30</v>
      </c>
      <c r="D45" s="2"/>
      <c r="E45" s="3">
        <v>0</v>
      </c>
      <c r="F45" s="3">
        <v>0</v>
      </c>
      <c r="G45" s="2"/>
      <c r="H45" s="2">
        <f t="shared" si="3"/>
        <v>5</v>
      </c>
      <c r="I45" s="2">
        <f t="shared" si="4"/>
        <v>30</v>
      </c>
    </row>
    <row r="46" spans="1:9" ht="9" customHeight="1">
      <c r="A46" s="32" t="s">
        <v>15</v>
      </c>
      <c r="B46" s="29">
        <f>SUM(B37:B45)</f>
        <v>843</v>
      </c>
      <c r="C46" s="29">
        <f>SUM(C37:C45)</f>
        <v>4060</v>
      </c>
      <c r="D46" s="29"/>
      <c r="E46" s="29">
        <f>SUM(E37:E45)</f>
        <v>60</v>
      </c>
      <c r="F46" s="29">
        <f>SUM(F37:F45)</f>
        <v>300</v>
      </c>
      <c r="G46" s="29"/>
      <c r="H46" s="29">
        <f>SUM(H37:H45)</f>
        <v>903</v>
      </c>
      <c r="I46" s="29">
        <f>SUM(I37:I45)</f>
        <v>4360</v>
      </c>
    </row>
    <row r="47" spans="1:9" ht="9" customHeight="1">
      <c r="A47" s="32" t="s">
        <v>54</v>
      </c>
      <c r="B47" s="7">
        <f>SUM(B37:B41)</f>
        <v>700</v>
      </c>
      <c r="C47" s="7">
        <f>SUM(C37:C41)</f>
        <v>3417</v>
      </c>
      <c r="D47" s="7"/>
      <c r="E47" s="7">
        <f>SUM(E37:E41)</f>
        <v>60</v>
      </c>
      <c r="F47" s="7">
        <f>SUM(F37:F41)</f>
        <v>300</v>
      </c>
      <c r="G47" s="7"/>
      <c r="H47" s="7">
        <f>SUM(H37:H41)</f>
        <v>760</v>
      </c>
      <c r="I47" s="7">
        <f>SUM(I37:I41)</f>
        <v>3717</v>
      </c>
    </row>
    <row r="48" spans="1:9" ht="9" customHeight="1">
      <c r="A48" s="32" t="s">
        <v>53</v>
      </c>
      <c r="B48" s="7">
        <f>SUM(B42)</f>
        <v>101</v>
      </c>
      <c r="C48" s="7">
        <f>SUM(C42)</f>
        <v>403</v>
      </c>
      <c r="D48" s="7"/>
      <c r="E48" s="7">
        <f>SUM(E42)</f>
        <v>0</v>
      </c>
      <c r="F48" s="7">
        <f>SUM(F42)</f>
        <v>0</v>
      </c>
      <c r="G48" s="7"/>
      <c r="H48" s="7">
        <f>SUM(H42)</f>
        <v>101</v>
      </c>
      <c r="I48" s="7">
        <f>SUM(I42)</f>
        <v>403</v>
      </c>
    </row>
    <row r="49" spans="1:9" ht="9" customHeight="1">
      <c r="A49" s="51" t="s">
        <v>39</v>
      </c>
      <c r="B49" s="9">
        <f>SUM(B43:B45)</f>
        <v>42</v>
      </c>
      <c r="C49" s="9">
        <f>SUM(C43:C45)</f>
        <v>240</v>
      </c>
      <c r="D49" s="9"/>
      <c r="E49" s="9">
        <f>SUM(E45)</f>
        <v>0</v>
      </c>
      <c r="F49" s="9">
        <f>SUM(F45)</f>
        <v>0</v>
      </c>
      <c r="G49" s="9"/>
      <c r="H49" s="9">
        <f>SUM(H43:H45)</f>
        <v>42</v>
      </c>
      <c r="I49" s="9">
        <f>SUM(I43:I45)</f>
        <v>240</v>
      </c>
    </row>
    <row r="50" spans="1:9" ht="9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7" ht="9" customHeight="1">
      <c r="A51" s="27"/>
      <c r="B51" s="7"/>
      <c r="C51" s="7"/>
      <c r="E51" s="2"/>
      <c r="F51" s="2"/>
      <c r="G51" s="7"/>
    </row>
    <row r="52" spans="1:3" ht="9" customHeight="1">
      <c r="A52" s="27"/>
      <c r="B52" s="2"/>
      <c r="C52" s="2"/>
    </row>
    <row r="53" spans="1:9" ht="9" customHeight="1">
      <c r="A53" s="27"/>
      <c r="B53" s="2"/>
      <c r="C53" s="2"/>
      <c r="D53" s="27"/>
      <c r="E53" s="2"/>
      <c r="F53" s="2"/>
      <c r="H53" s="3"/>
      <c r="I53" s="3"/>
    </row>
    <row r="54" spans="1:9" ht="9" customHeight="1">
      <c r="A54" s="27"/>
      <c r="B54" s="2"/>
      <c r="C54" s="2"/>
      <c r="D54" s="27"/>
      <c r="E54" s="2"/>
      <c r="F54" s="2"/>
      <c r="H54" s="3"/>
      <c r="I54" s="3"/>
    </row>
    <row r="55" spans="1:9" ht="9" customHeight="1">
      <c r="A55" s="37"/>
      <c r="B55" s="2"/>
      <c r="C55" s="2"/>
      <c r="E55" s="2"/>
      <c r="F55" s="2"/>
      <c r="H55" s="3"/>
      <c r="I55" s="3"/>
    </row>
    <row r="56" spans="1:9" ht="9" customHeight="1">
      <c r="A56" s="27"/>
      <c r="B56" s="2"/>
      <c r="C56" s="2"/>
      <c r="D56" s="27"/>
      <c r="E56" s="2"/>
      <c r="F56" s="2"/>
      <c r="H56" s="3"/>
      <c r="I56" s="3"/>
    </row>
    <row r="57" spans="1:9" ht="9" customHeight="1">
      <c r="A57" s="37"/>
      <c r="B57" s="2"/>
      <c r="C57" s="2"/>
      <c r="H57" s="3"/>
      <c r="I57" s="3"/>
    </row>
    <row r="58" spans="1:9" ht="9" customHeight="1">
      <c r="A58" s="38"/>
      <c r="B58" s="2"/>
      <c r="C58" s="2"/>
      <c r="H58" s="3"/>
      <c r="I58" s="3"/>
    </row>
    <row r="59" spans="1:9" ht="9" customHeight="1">
      <c r="A59" s="27"/>
      <c r="B59" s="2"/>
      <c r="C59" s="2"/>
      <c r="D59" s="27"/>
      <c r="E59" s="2"/>
      <c r="F59" s="2"/>
      <c r="H59" s="3"/>
      <c r="I59" s="3"/>
    </row>
    <row r="60" spans="1:9" ht="9" customHeight="1">
      <c r="A60" s="27"/>
      <c r="B60" s="2"/>
      <c r="C60" s="2"/>
      <c r="G60" s="7"/>
      <c r="H60" s="3"/>
      <c r="I60" s="3"/>
    </row>
    <row r="61" spans="1:6" s="3" customFormat="1" ht="10.5" customHeight="1">
      <c r="A61" s="27"/>
      <c r="E61" s="2"/>
      <c r="F61" s="2"/>
    </row>
    <row r="62" s="3" customFormat="1" ht="10.5" customHeight="1"/>
  </sheetData>
  <mergeCells count="7">
    <mergeCell ref="A36:I36"/>
    <mergeCell ref="A5:A6"/>
    <mergeCell ref="H5:I5"/>
    <mergeCell ref="B5:C5"/>
    <mergeCell ref="E5:F5"/>
    <mergeCell ref="A8:I8"/>
    <mergeCell ref="A24:I24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K18" sqref="K18"/>
    </sheetView>
  </sheetViews>
  <sheetFormatPr defaultColWidth="9.140625" defaultRowHeight="12.75"/>
  <cols>
    <col min="1" max="1" width="15.7109375" style="20" customWidth="1"/>
    <col min="2" max="2" width="9.421875" style="20" bestFit="1" customWidth="1"/>
    <col min="3" max="3" width="9.57421875" style="20" bestFit="1" customWidth="1"/>
    <col min="4" max="4" width="2.140625" style="20" customWidth="1"/>
    <col min="5" max="5" width="9.28125" style="20" bestFit="1" customWidth="1"/>
    <col min="6" max="6" width="9.421875" style="20" bestFit="1" customWidth="1"/>
    <col min="7" max="7" width="2.140625" style="20" customWidth="1"/>
    <col min="8" max="8" width="9.421875" style="20" bestFit="1" customWidth="1"/>
    <col min="9" max="9" width="9.57421875" style="20" bestFit="1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5.25" customHeight="1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21" customHeight="1">
      <c r="A8" s="97" t="s">
        <v>29</v>
      </c>
      <c r="B8" s="97"/>
      <c r="C8" s="97"/>
      <c r="D8" s="97"/>
      <c r="E8" s="97"/>
      <c r="F8" s="97"/>
      <c r="G8" s="97"/>
      <c r="H8" s="97"/>
      <c r="I8" s="97"/>
    </row>
    <row r="9" spans="1:9" s="3" customFormat="1" ht="9">
      <c r="A9" s="38" t="s">
        <v>2</v>
      </c>
      <c r="B9" s="71">
        <v>100</v>
      </c>
      <c r="C9" s="71">
        <v>400</v>
      </c>
      <c r="D9" s="71"/>
      <c r="E9" s="75">
        <v>0</v>
      </c>
      <c r="F9" s="75">
        <v>0</v>
      </c>
      <c r="G9" s="71"/>
      <c r="H9" s="71">
        <f>+B9+E9</f>
        <v>100</v>
      </c>
      <c r="I9" s="71">
        <f>+C9+F9</f>
        <v>400</v>
      </c>
    </row>
    <row r="10" spans="1:9" s="3" customFormat="1" ht="9">
      <c r="A10" s="38" t="s">
        <v>3</v>
      </c>
      <c r="B10" s="70">
        <v>325</v>
      </c>
      <c r="C10" s="70">
        <v>2616</v>
      </c>
      <c r="D10" s="70"/>
      <c r="E10" s="70">
        <v>400</v>
      </c>
      <c r="F10" s="70">
        <v>1548</v>
      </c>
      <c r="G10" s="70"/>
      <c r="H10" s="71">
        <f>+B10+E10</f>
        <v>725</v>
      </c>
      <c r="I10" s="71">
        <f>+C10+F10</f>
        <v>4164</v>
      </c>
    </row>
    <row r="11" spans="1:9" s="3" customFormat="1" ht="9">
      <c r="A11" s="37" t="s">
        <v>38</v>
      </c>
      <c r="B11" s="75">
        <f>SUM(B12)</f>
        <v>0</v>
      </c>
      <c r="C11" s="75">
        <f>SUM(C12)</f>
        <v>0</v>
      </c>
      <c r="D11" s="71"/>
      <c r="E11" s="75">
        <f>SUM(E12)</f>
        <v>7</v>
      </c>
      <c r="F11" s="75">
        <f>SUM(F12)</f>
        <v>21</v>
      </c>
      <c r="G11" s="71"/>
      <c r="H11" s="75">
        <f>SUM(H12)</f>
        <v>7</v>
      </c>
      <c r="I11" s="75">
        <f>SUM(I12)</f>
        <v>21</v>
      </c>
    </row>
    <row r="12" spans="1:9" s="3" customFormat="1" ht="9">
      <c r="A12" s="39" t="s">
        <v>19</v>
      </c>
      <c r="B12" s="71">
        <v>0</v>
      </c>
      <c r="C12" s="71">
        <v>0</v>
      </c>
      <c r="D12" s="70"/>
      <c r="E12" s="77">
        <v>7</v>
      </c>
      <c r="F12" s="77">
        <v>21</v>
      </c>
      <c r="G12" s="77"/>
      <c r="H12" s="76">
        <f aca="true" t="shared" si="0" ref="H12:H26">+B12+E12</f>
        <v>7</v>
      </c>
      <c r="I12" s="76">
        <f aca="true" t="shared" si="1" ref="I12:I26">+C12+F12</f>
        <v>21</v>
      </c>
    </row>
    <row r="13" spans="1:9" s="3" customFormat="1" ht="9">
      <c r="A13" s="38" t="s">
        <v>17</v>
      </c>
      <c r="B13" s="70">
        <v>510</v>
      </c>
      <c r="C13" s="70">
        <v>3269</v>
      </c>
      <c r="D13" s="70"/>
      <c r="E13" s="71">
        <v>100</v>
      </c>
      <c r="F13" s="71">
        <v>500</v>
      </c>
      <c r="G13" s="70"/>
      <c r="H13" s="71">
        <f t="shared" si="0"/>
        <v>610</v>
      </c>
      <c r="I13" s="71">
        <f t="shared" si="1"/>
        <v>3769</v>
      </c>
    </row>
    <row r="14" spans="1:9" s="3" customFormat="1" ht="9">
      <c r="A14" s="37" t="s">
        <v>41</v>
      </c>
      <c r="B14" s="70">
        <v>43</v>
      </c>
      <c r="C14" s="70">
        <v>71</v>
      </c>
      <c r="D14" s="70"/>
      <c r="E14" s="70">
        <v>2</v>
      </c>
      <c r="F14" s="70">
        <v>5</v>
      </c>
      <c r="G14" s="70"/>
      <c r="H14" s="71">
        <f t="shared" si="0"/>
        <v>45</v>
      </c>
      <c r="I14" s="71">
        <f t="shared" si="1"/>
        <v>76</v>
      </c>
    </row>
    <row r="15" spans="1:9" s="3" customFormat="1" ht="9">
      <c r="A15" s="37" t="s">
        <v>4</v>
      </c>
      <c r="B15" s="70">
        <v>200</v>
      </c>
      <c r="C15" s="70">
        <v>2250</v>
      </c>
      <c r="D15" s="70"/>
      <c r="E15" s="75">
        <v>0</v>
      </c>
      <c r="F15" s="75">
        <v>0</v>
      </c>
      <c r="G15" s="70"/>
      <c r="H15" s="71">
        <f t="shared" si="0"/>
        <v>200</v>
      </c>
      <c r="I15" s="71">
        <f t="shared" si="1"/>
        <v>2250</v>
      </c>
    </row>
    <row r="16" spans="1:9" s="3" customFormat="1" ht="9">
      <c r="A16" s="37" t="s">
        <v>20</v>
      </c>
      <c r="B16" s="70">
        <v>2</v>
      </c>
      <c r="C16" s="70">
        <v>20</v>
      </c>
      <c r="D16" s="70"/>
      <c r="E16" s="70">
        <v>120</v>
      </c>
      <c r="F16" s="70">
        <v>234</v>
      </c>
      <c r="G16" s="70"/>
      <c r="H16" s="71">
        <f t="shared" si="0"/>
        <v>122</v>
      </c>
      <c r="I16" s="71">
        <f t="shared" si="1"/>
        <v>254</v>
      </c>
    </row>
    <row r="17" spans="1:9" s="3" customFormat="1" ht="9">
      <c r="A17" s="38" t="s">
        <v>5</v>
      </c>
      <c r="B17" s="70">
        <v>665</v>
      </c>
      <c r="C17" s="70">
        <v>3430</v>
      </c>
      <c r="D17" s="70"/>
      <c r="E17" s="71">
        <v>20</v>
      </c>
      <c r="F17" s="71">
        <v>40</v>
      </c>
      <c r="G17" s="70"/>
      <c r="H17" s="71">
        <f t="shared" si="0"/>
        <v>685</v>
      </c>
      <c r="I17" s="71">
        <f t="shared" si="1"/>
        <v>3470</v>
      </c>
    </row>
    <row r="18" spans="1:9" s="3" customFormat="1" ht="9">
      <c r="A18" s="38" t="s">
        <v>6</v>
      </c>
      <c r="B18" s="71">
        <v>0</v>
      </c>
      <c r="C18" s="71">
        <v>0</v>
      </c>
      <c r="D18" s="70"/>
      <c r="E18" s="70">
        <v>70</v>
      </c>
      <c r="F18" s="70">
        <v>307</v>
      </c>
      <c r="G18" s="70"/>
      <c r="H18" s="71">
        <f t="shared" si="0"/>
        <v>70</v>
      </c>
      <c r="I18" s="71">
        <f t="shared" si="1"/>
        <v>307</v>
      </c>
    </row>
    <row r="19" spans="1:9" s="3" customFormat="1" ht="9">
      <c r="A19" s="38" t="s">
        <v>7</v>
      </c>
      <c r="B19" s="70">
        <v>160</v>
      </c>
      <c r="C19" s="70">
        <v>195</v>
      </c>
      <c r="D19" s="70"/>
      <c r="E19" s="70">
        <v>300</v>
      </c>
      <c r="F19" s="70">
        <v>162</v>
      </c>
      <c r="G19" s="70"/>
      <c r="H19" s="71">
        <f t="shared" si="0"/>
        <v>460</v>
      </c>
      <c r="I19" s="71">
        <f t="shared" si="1"/>
        <v>357</v>
      </c>
    </row>
    <row r="20" spans="1:9" s="3" customFormat="1" ht="9">
      <c r="A20" s="38" t="s">
        <v>8</v>
      </c>
      <c r="B20" s="70">
        <v>802</v>
      </c>
      <c r="C20" s="70">
        <v>2454</v>
      </c>
      <c r="D20" s="70"/>
      <c r="E20" s="70">
        <v>300</v>
      </c>
      <c r="F20" s="70">
        <v>630</v>
      </c>
      <c r="G20" s="70"/>
      <c r="H20" s="71">
        <f t="shared" si="0"/>
        <v>1102</v>
      </c>
      <c r="I20" s="71">
        <f t="shared" si="1"/>
        <v>3084</v>
      </c>
    </row>
    <row r="21" spans="1:9" s="3" customFormat="1" ht="9">
      <c r="A21" s="38" t="s">
        <v>9</v>
      </c>
      <c r="B21" s="70">
        <v>55</v>
      </c>
      <c r="C21" s="70">
        <v>70</v>
      </c>
      <c r="D21" s="70"/>
      <c r="E21" s="75">
        <v>0</v>
      </c>
      <c r="F21" s="75">
        <v>0</v>
      </c>
      <c r="G21" s="70"/>
      <c r="H21" s="71">
        <f t="shared" si="0"/>
        <v>55</v>
      </c>
      <c r="I21" s="71">
        <f t="shared" si="1"/>
        <v>70</v>
      </c>
    </row>
    <row r="22" spans="1:9" s="3" customFormat="1" ht="9">
      <c r="A22" s="38" t="s">
        <v>10</v>
      </c>
      <c r="B22" s="70">
        <v>8290</v>
      </c>
      <c r="C22" s="70">
        <v>34980</v>
      </c>
      <c r="D22" s="70"/>
      <c r="E22" s="70">
        <v>200</v>
      </c>
      <c r="F22" s="70">
        <v>580</v>
      </c>
      <c r="G22" s="70"/>
      <c r="H22" s="71">
        <f t="shared" si="0"/>
        <v>8490</v>
      </c>
      <c r="I22" s="71">
        <f t="shared" si="1"/>
        <v>35560</v>
      </c>
    </row>
    <row r="23" spans="1:9" s="3" customFormat="1" ht="9">
      <c r="A23" s="38" t="s">
        <v>11</v>
      </c>
      <c r="B23" s="70">
        <v>2660</v>
      </c>
      <c r="C23" s="70">
        <v>5660</v>
      </c>
      <c r="D23" s="70"/>
      <c r="E23" s="70">
        <v>160</v>
      </c>
      <c r="F23" s="70">
        <v>835</v>
      </c>
      <c r="G23" s="70"/>
      <c r="H23" s="71">
        <f t="shared" si="0"/>
        <v>2820</v>
      </c>
      <c r="I23" s="71">
        <f t="shared" si="1"/>
        <v>6495</v>
      </c>
    </row>
    <row r="24" spans="1:9" s="3" customFormat="1" ht="9">
      <c r="A24" s="38" t="s">
        <v>12</v>
      </c>
      <c r="B24" s="70">
        <v>5</v>
      </c>
      <c r="C24" s="70">
        <v>25</v>
      </c>
      <c r="D24" s="70"/>
      <c r="E24" s="75">
        <v>0</v>
      </c>
      <c r="F24" s="75">
        <v>0</v>
      </c>
      <c r="G24" s="70"/>
      <c r="H24" s="71">
        <f t="shared" si="0"/>
        <v>5</v>
      </c>
      <c r="I24" s="71">
        <f t="shared" si="1"/>
        <v>25</v>
      </c>
    </row>
    <row r="25" spans="1:9" s="3" customFormat="1" ht="9">
      <c r="A25" s="38" t="s">
        <v>13</v>
      </c>
      <c r="B25" s="70">
        <v>600</v>
      </c>
      <c r="C25" s="70">
        <v>3000</v>
      </c>
      <c r="D25" s="70"/>
      <c r="E25" s="70">
        <v>200</v>
      </c>
      <c r="F25" s="70">
        <v>1180</v>
      </c>
      <c r="G25" s="70"/>
      <c r="H25" s="71">
        <f t="shared" si="0"/>
        <v>800</v>
      </c>
      <c r="I25" s="71">
        <f t="shared" si="1"/>
        <v>4180</v>
      </c>
    </row>
    <row r="26" spans="1:9" s="3" customFormat="1" ht="9">
      <c r="A26" s="38" t="s">
        <v>14</v>
      </c>
      <c r="B26" s="71">
        <v>110</v>
      </c>
      <c r="C26" s="71">
        <v>550</v>
      </c>
      <c r="D26" s="70"/>
      <c r="E26" s="70">
        <v>300</v>
      </c>
      <c r="F26" s="70">
        <v>1200</v>
      </c>
      <c r="G26" s="70"/>
      <c r="H26" s="71">
        <f t="shared" si="0"/>
        <v>410</v>
      </c>
      <c r="I26" s="71">
        <f t="shared" si="1"/>
        <v>1750</v>
      </c>
    </row>
    <row r="27" spans="1:9" s="3" customFormat="1" ht="9">
      <c r="A27" s="32" t="s">
        <v>15</v>
      </c>
      <c r="B27" s="81">
        <f>SUM(B9:B26)-B11</f>
        <v>14527</v>
      </c>
      <c r="C27" s="81">
        <f>SUM(C9:C26)-C11</f>
        <v>58990</v>
      </c>
      <c r="D27" s="83"/>
      <c r="E27" s="83">
        <f>SUM(E9:E26)-E11</f>
        <v>2179</v>
      </c>
      <c r="F27" s="83">
        <f>SUM(F9:F26)-F11</f>
        <v>7242</v>
      </c>
      <c r="G27" s="83"/>
      <c r="H27" s="81">
        <f>SUM(H9:H26)-H11</f>
        <v>16706</v>
      </c>
      <c r="I27" s="81">
        <f>SUM(I9:I26)-I11</f>
        <v>66232</v>
      </c>
    </row>
    <row r="28" spans="1:9" s="3" customFormat="1" ht="9">
      <c r="A28" s="32" t="s">
        <v>54</v>
      </c>
      <c r="B28" s="81">
        <f>SUM(B9:B16)-B11</f>
        <v>1180</v>
      </c>
      <c r="C28" s="81">
        <f>SUM(C9:C16)-C11</f>
        <v>8626</v>
      </c>
      <c r="D28" s="83"/>
      <c r="E28" s="83">
        <f>SUM(E9:E16)-E11</f>
        <v>629</v>
      </c>
      <c r="F28" s="83">
        <f>SUM(F9:F16)-F11</f>
        <v>2308</v>
      </c>
      <c r="G28" s="83"/>
      <c r="H28" s="81">
        <f>SUM(H9:H16)-H11</f>
        <v>1809</v>
      </c>
      <c r="I28" s="81">
        <f>SUM(I9:I16)-I11</f>
        <v>10934</v>
      </c>
    </row>
    <row r="29" spans="1:9" s="3" customFormat="1" ht="9">
      <c r="A29" s="32" t="s">
        <v>53</v>
      </c>
      <c r="B29" s="81">
        <f>SUM(B17:B20)</f>
        <v>1627</v>
      </c>
      <c r="C29" s="81">
        <f>SUM(C17:C20)</f>
        <v>6079</v>
      </c>
      <c r="D29" s="83"/>
      <c r="E29" s="83">
        <f>SUM(E17:E20)</f>
        <v>690</v>
      </c>
      <c r="F29" s="83">
        <f>SUM(F17:F20)</f>
        <v>1139</v>
      </c>
      <c r="G29" s="83"/>
      <c r="H29" s="81">
        <f>SUM(H17:H20)</f>
        <v>2317</v>
      </c>
      <c r="I29" s="81">
        <f>SUM(I17:I20)</f>
        <v>7218</v>
      </c>
    </row>
    <row r="30" spans="1:9" s="3" customFormat="1" ht="9">
      <c r="A30" s="32" t="s">
        <v>39</v>
      </c>
      <c r="B30" s="81">
        <f>SUM(B21:B26)</f>
        <v>11720</v>
      </c>
      <c r="C30" s="81">
        <f>SUM(C21:C26)</f>
        <v>44285</v>
      </c>
      <c r="D30" s="83"/>
      <c r="E30" s="83">
        <f>SUM(E21:E26)</f>
        <v>860</v>
      </c>
      <c r="F30" s="83">
        <f>SUM(F21:F26)</f>
        <v>3795</v>
      </c>
      <c r="G30" s="83"/>
      <c r="H30" s="81">
        <f>SUM(H21:H26)</f>
        <v>12580</v>
      </c>
      <c r="I30" s="81">
        <f>SUM(I21:I26)</f>
        <v>48080</v>
      </c>
    </row>
    <row r="31" spans="1:9" s="3" customFormat="1" ht="9">
      <c r="A31" s="27"/>
      <c r="B31" s="2"/>
      <c r="C31" s="2"/>
      <c r="D31" s="2"/>
      <c r="E31" s="2"/>
      <c r="F31" s="2"/>
      <c r="G31" s="2"/>
      <c r="H31" s="2"/>
      <c r="I31" s="2"/>
    </row>
    <row r="32" spans="1:9" s="3" customFormat="1" ht="20.25" customHeight="1">
      <c r="A32" s="93" t="s">
        <v>27</v>
      </c>
      <c r="B32" s="93"/>
      <c r="C32" s="93"/>
      <c r="D32" s="93"/>
      <c r="E32" s="93"/>
      <c r="F32" s="93"/>
      <c r="G32" s="93"/>
      <c r="H32" s="93"/>
      <c r="I32" s="93"/>
    </row>
    <row r="33" spans="1:9" s="3" customFormat="1" ht="9" customHeight="1">
      <c r="A33" s="53" t="s">
        <v>2</v>
      </c>
      <c r="B33" s="85">
        <v>100</v>
      </c>
      <c r="C33" s="85">
        <v>120</v>
      </c>
      <c r="D33" s="85"/>
      <c r="E33" s="75">
        <v>0</v>
      </c>
      <c r="F33" s="75">
        <v>0</v>
      </c>
      <c r="G33" s="85"/>
      <c r="H33" s="85">
        <f>+B33+E33</f>
        <v>100</v>
      </c>
      <c r="I33" s="85">
        <f>+C33+F33</f>
        <v>120</v>
      </c>
    </row>
    <row r="34" spans="1:9" s="3" customFormat="1" ht="9">
      <c r="A34" s="38" t="s">
        <v>3</v>
      </c>
      <c r="B34" s="71">
        <v>110</v>
      </c>
      <c r="C34" s="71">
        <v>445</v>
      </c>
      <c r="D34" s="71"/>
      <c r="E34" s="71">
        <v>50</v>
      </c>
      <c r="F34" s="71">
        <v>160</v>
      </c>
      <c r="G34" s="71"/>
      <c r="H34" s="85">
        <f aca="true" t="shared" si="2" ref="H34:H42">+B34+E34</f>
        <v>160</v>
      </c>
      <c r="I34" s="85">
        <f aca="true" t="shared" si="3" ref="I34:I42">+C34+F34</f>
        <v>605</v>
      </c>
    </row>
    <row r="35" spans="1:9" s="3" customFormat="1" ht="9">
      <c r="A35" s="38" t="s">
        <v>17</v>
      </c>
      <c r="B35" s="71">
        <v>90</v>
      </c>
      <c r="C35" s="71">
        <v>270</v>
      </c>
      <c r="D35" s="71"/>
      <c r="E35" s="75">
        <v>0</v>
      </c>
      <c r="F35" s="75">
        <v>0</v>
      </c>
      <c r="G35" s="71"/>
      <c r="H35" s="85">
        <f t="shared" si="2"/>
        <v>90</v>
      </c>
      <c r="I35" s="85">
        <f t="shared" si="3"/>
        <v>270</v>
      </c>
    </row>
    <row r="36" spans="1:9" s="3" customFormat="1" ht="9">
      <c r="A36" s="38" t="s">
        <v>4</v>
      </c>
      <c r="B36" s="70">
        <v>2500</v>
      </c>
      <c r="C36" s="70">
        <v>20000</v>
      </c>
      <c r="D36" s="70"/>
      <c r="E36" s="70">
        <v>2500</v>
      </c>
      <c r="F36" s="70">
        <v>21225</v>
      </c>
      <c r="G36" s="70"/>
      <c r="H36" s="85">
        <f t="shared" si="2"/>
        <v>5000</v>
      </c>
      <c r="I36" s="85">
        <f t="shared" si="3"/>
        <v>41225</v>
      </c>
    </row>
    <row r="37" spans="1:9" s="3" customFormat="1" ht="9">
      <c r="A37" s="38" t="s">
        <v>44</v>
      </c>
      <c r="B37" s="70">
        <v>20</v>
      </c>
      <c r="C37" s="70">
        <v>100</v>
      </c>
      <c r="D37" s="70"/>
      <c r="E37" s="70">
        <v>0</v>
      </c>
      <c r="F37" s="70">
        <v>0</v>
      </c>
      <c r="G37" s="70"/>
      <c r="H37" s="85">
        <f t="shared" si="2"/>
        <v>20</v>
      </c>
      <c r="I37" s="85">
        <f t="shared" si="3"/>
        <v>100</v>
      </c>
    </row>
    <row r="38" spans="1:9" s="3" customFormat="1" ht="9">
      <c r="A38" s="38" t="s">
        <v>5</v>
      </c>
      <c r="B38" s="70">
        <v>20</v>
      </c>
      <c r="C38" s="70">
        <v>30</v>
      </c>
      <c r="D38" s="70"/>
      <c r="E38" s="70">
        <v>160</v>
      </c>
      <c r="F38" s="70">
        <v>900</v>
      </c>
      <c r="G38" s="70"/>
      <c r="H38" s="85">
        <f t="shared" si="2"/>
        <v>180</v>
      </c>
      <c r="I38" s="85">
        <f t="shared" si="3"/>
        <v>930</v>
      </c>
    </row>
    <row r="39" spans="1:9" s="3" customFormat="1" ht="9">
      <c r="A39" s="38" t="s">
        <v>7</v>
      </c>
      <c r="B39" s="70">
        <v>0</v>
      </c>
      <c r="C39" s="70">
        <v>0</v>
      </c>
      <c r="D39" s="70"/>
      <c r="E39" s="70">
        <v>300</v>
      </c>
      <c r="F39" s="70">
        <v>162</v>
      </c>
      <c r="G39" s="70"/>
      <c r="H39" s="85">
        <f t="shared" si="2"/>
        <v>300</v>
      </c>
      <c r="I39" s="85">
        <f t="shared" si="3"/>
        <v>162</v>
      </c>
    </row>
    <row r="40" spans="1:9" s="3" customFormat="1" ht="9">
      <c r="A40" s="38" t="s">
        <v>8</v>
      </c>
      <c r="B40" s="70">
        <v>301</v>
      </c>
      <c r="C40" s="70">
        <v>2588</v>
      </c>
      <c r="D40" s="70"/>
      <c r="E40" s="71">
        <v>0</v>
      </c>
      <c r="F40" s="71">
        <v>0</v>
      </c>
      <c r="G40" s="70"/>
      <c r="H40" s="85">
        <f t="shared" si="2"/>
        <v>301</v>
      </c>
      <c r="I40" s="85">
        <f t="shared" si="3"/>
        <v>2588</v>
      </c>
    </row>
    <row r="41" spans="1:9" s="3" customFormat="1" ht="9">
      <c r="A41" s="38" t="s">
        <v>10</v>
      </c>
      <c r="B41" s="70">
        <v>1310</v>
      </c>
      <c r="C41" s="70">
        <v>15650</v>
      </c>
      <c r="D41" s="70"/>
      <c r="E41" s="70">
        <v>455</v>
      </c>
      <c r="F41" s="70">
        <v>3800</v>
      </c>
      <c r="G41" s="70"/>
      <c r="H41" s="85">
        <f t="shared" si="2"/>
        <v>1765</v>
      </c>
      <c r="I41" s="85">
        <f t="shared" si="3"/>
        <v>19450</v>
      </c>
    </row>
    <row r="42" spans="1:9" s="3" customFormat="1" ht="9">
      <c r="A42" s="38" t="s">
        <v>11</v>
      </c>
      <c r="B42" s="70">
        <v>500</v>
      </c>
      <c r="C42" s="70">
        <v>4000</v>
      </c>
      <c r="D42" s="70"/>
      <c r="E42" s="71">
        <v>50</v>
      </c>
      <c r="F42" s="71">
        <v>300</v>
      </c>
      <c r="G42" s="70"/>
      <c r="H42" s="85">
        <f t="shared" si="2"/>
        <v>550</v>
      </c>
      <c r="I42" s="85">
        <f t="shared" si="3"/>
        <v>4300</v>
      </c>
    </row>
    <row r="43" spans="1:9" s="3" customFormat="1" ht="9">
      <c r="A43" s="32" t="s">
        <v>15</v>
      </c>
      <c r="B43" s="83">
        <f>SUM(B33:B42)</f>
        <v>4951</v>
      </c>
      <c r="C43" s="83">
        <f>SUM(C33:C42)</f>
        <v>43203</v>
      </c>
      <c r="D43" s="83"/>
      <c r="E43" s="81">
        <f>SUM(E33:E42)</f>
        <v>3515</v>
      </c>
      <c r="F43" s="81">
        <f>SUM(F33:F42)</f>
        <v>26547</v>
      </c>
      <c r="G43" s="83"/>
      <c r="H43" s="86">
        <f>SUM(H33:H42)</f>
        <v>8466</v>
      </c>
      <c r="I43" s="86">
        <f>SUM(I33:I42)</f>
        <v>69750</v>
      </c>
    </row>
    <row r="44" spans="1:9" s="3" customFormat="1" ht="9">
      <c r="A44" s="32" t="s">
        <v>54</v>
      </c>
      <c r="B44" s="83">
        <f>SUM(B33:B37)</f>
        <v>2820</v>
      </c>
      <c r="C44" s="83">
        <f>SUM(C33:C37)</f>
        <v>20935</v>
      </c>
      <c r="D44" s="83"/>
      <c r="E44" s="81">
        <f>SUM(E33:E37)</f>
        <v>2550</v>
      </c>
      <c r="F44" s="81">
        <f>SUM(F33:F37)</f>
        <v>21385</v>
      </c>
      <c r="G44" s="83"/>
      <c r="H44" s="86">
        <f>SUM(H33:H37)</f>
        <v>5370</v>
      </c>
      <c r="I44" s="86">
        <f>SUM(I33:I37)</f>
        <v>42320</v>
      </c>
    </row>
    <row r="45" spans="1:9" s="3" customFormat="1" ht="9">
      <c r="A45" s="32" t="s">
        <v>53</v>
      </c>
      <c r="B45" s="83">
        <f>SUM(B38:B40)</f>
        <v>321</v>
      </c>
      <c r="C45" s="83">
        <f>SUM(C38:C40)</f>
        <v>2618</v>
      </c>
      <c r="D45" s="83"/>
      <c r="E45" s="81">
        <f>SUM(E38:E40)</f>
        <v>460</v>
      </c>
      <c r="F45" s="81">
        <f>SUM(F38:F40)</f>
        <v>1062</v>
      </c>
      <c r="G45" s="83"/>
      <c r="H45" s="86">
        <f>SUM(H38:H40)</f>
        <v>781</v>
      </c>
      <c r="I45" s="86">
        <f>SUM(I38:I40)</f>
        <v>3680</v>
      </c>
    </row>
    <row r="46" spans="1:9" s="3" customFormat="1" ht="9">
      <c r="A46" s="32" t="s">
        <v>39</v>
      </c>
      <c r="B46" s="83">
        <f>SUM(B41:B42)</f>
        <v>1810</v>
      </c>
      <c r="C46" s="83">
        <f>SUM(C41:C42)</f>
        <v>19650</v>
      </c>
      <c r="D46" s="83"/>
      <c r="E46" s="81">
        <f>SUM(E41:E42)</f>
        <v>505</v>
      </c>
      <c r="F46" s="81">
        <f>SUM(F41:F42)</f>
        <v>4100</v>
      </c>
      <c r="G46" s="83"/>
      <c r="H46" s="86">
        <f>SUM(H41:H42)</f>
        <v>2315</v>
      </c>
      <c r="I46" s="86">
        <f>SUM(I41:I42)</f>
        <v>23750</v>
      </c>
    </row>
    <row r="47" spans="1:9" s="3" customFormat="1" ht="9">
      <c r="A47" s="33"/>
      <c r="B47" s="34"/>
      <c r="C47" s="34"/>
      <c r="D47" s="34"/>
      <c r="E47" s="34"/>
      <c r="F47" s="34"/>
      <c r="G47" s="34"/>
      <c r="H47" s="34"/>
      <c r="I47" s="34"/>
    </row>
    <row r="48" spans="1:9" s="3" customFormat="1" ht="9">
      <c r="A48" s="5"/>
      <c r="B48" s="5"/>
      <c r="C48" s="5"/>
      <c r="D48" s="5"/>
      <c r="E48" s="5"/>
      <c r="F48" s="5"/>
      <c r="G48" s="5"/>
      <c r="H48" s="5"/>
      <c r="I48" s="5"/>
    </row>
    <row r="49" spans="1:9" s="3" customFormat="1" ht="9">
      <c r="A49" s="5"/>
      <c r="B49" s="5"/>
      <c r="C49" s="5"/>
      <c r="D49" s="5"/>
      <c r="E49" s="5"/>
      <c r="F49" s="5"/>
      <c r="G49" s="5"/>
      <c r="H49" s="5"/>
      <c r="I49" s="5"/>
    </row>
    <row r="50" spans="1:9" s="3" customFormat="1" ht="9">
      <c r="A50" s="5"/>
      <c r="B50" s="5"/>
      <c r="C50" s="5"/>
      <c r="D50" s="5"/>
      <c r="E50" s="5"/>
      <c r="F50" s="5"/>
      <c r="G50" s="5"/>
      <c r="H50" s="5"/>
      <c r="I50" s="5"/>
    </row>
  </sheetData>
  <mergeCells count="6">
    <mergeCell ref="A32:I32"/>
    <mergeCell ref="A8:I8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workbookViewId="0" topLeftCell="A1">
      <selection activeCell="K18" sqref="K18"/>
    </sheetView>
  </sheetViews>
  <sheetFormatPr defaultColWidth="9.140625" defaultRowHeight="12.75"/>
  <cols>
    <col min="1" max="1" width="17.8515625" style="20" customWidth="1"/>
    <col min="2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" customHeight="1">
      <c r="A2" s="16" t="s">
        <v>64</v>
      </c>
    </row>
    <row r="3" s="18" customFormat="1" ht="12" customHeight="1">
      <c r="A3" s="17" t="s">
        <v>61</v>
      </c>
    </row>
    <row r="4" s="18" customFormat="1" ht="11.25" customHeight="1">
      <c r="A4" s="16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7.2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4.5" customHeight="1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0.5" customHeight="1">
      <c r="A8" s="97" t="s">
        <v>33</v>
      </c>
      <c r="B8" s="97"/>
      <c r="C8" s="97"/>
      <c r="D8" s="97"/>
      <c r="E8" s="97"/>
      <c r="F8" s="97"/>
      <c r="G8" s="97"/>
      <c r="H8" s="97"/>
      <c r="I8" s="97"/>
    </row>
    <row r="9" spans="1:10" s="3" customFormat="1" ht="9">
      <c r="A9" s="38" t="s">
        <v>3</v>
      </c>
      <c r="B9" s="71">
        <v>0</v>
      </c>
      <c r="C9" s="71">
        <v>0</v>
      </c>
      <c r="D9" s="70"/>
      <c r="E9" s="70">
        <v>265</v>
      </c>
      <c r="F9" s="70">
        <v>836</v>
      </c>
      <c r="G9" s="70"/>
      <c r="H9" s="70">
        <f>+B9+E9</f>
        <v>265</v>
      </c>
      <c r="I9" s="70">
        <f>+C9+F9</f>
        <v>836</v>
      </c>
      <c r="J9" s="74"/>
    </row>
    <row r="10" spans="1:10" s="3" customFormat="1" ht="9">
      <c r="A10" s="37" t="s">
        <v>38</v>
      </c>
      <c r="B10" s="71">
        <f>SUM(B11)</f>
        <v>0</v>
      </c>
      <c r="C10" s="71">
        <f>SUM(C11)</f>
        <v>0</v>
      </c>
      <c r="D10" s="70"/>
      <c r="E10" s="71">
        <f>SUM(E11)</f>
        <v>4</v>
      </c>
      <c r="F10" s="71">
        <f>SUM(F11)</f>
        <v>14</v>
      </c>
      <c r="G10" s="70"/>
      <c r="H10" s="71">
        <f>SUM(H11)</f>
        <v>4</v>
      </c>
      <c r="I10" s="71">
        <f>SUM(I11)</f>
        <v>14</v>
      </c>
      <c r="J10" s="74"/>
    </row>
    <row r="11" spans="1:9" s="10" customFormat="1" ht="9">
      <c r="A11" s="39" t="s">
        <v>19</v>
      </c>
      <c r="B11" s="71">
        <v>0</v>
      </c>
      <c r="C11" s="71">
        <v>0</v>
      </c>
      <c r="D11" s="70"/>
      <c r="E11" s="76">
        <v>4</v>
      </c>
      <c r="F11" s="76">
        <v>14</v>
      </c>
      <c r="G11" s="77"/>
      <c r="H11" s="77">
        <f aca="true" t="shared" si="0" ref="H11:H22">+B11+E11</f>
        <v>4</v>
      </c>
      <c r="I11" s="77">
        <f aca="true" t="shared" si="1" ref="I11:I22">+C11+F11</f>
        <v>14</v>
      </c>
    </row>
    <row r="12" spans="1:9" s="3" customFormat="1" ht="9">
      <c r="A12" s="38" t="s">
        <v>17</v>
      </c>
      <c r="B12" s="70">
        <v>150</v>
      </c>
      <c r="C12" s="70">
        <v>1275</v>
      </c>
      <c r="D12" s="70"/>
      <c r="E12" s="71">
        <v>0</v>
      </c>
      <c r="F12" s="71">
        <v>0</v>
      </c>
      <c r="G12" s="70"/>
      <c r="H12" s="70">
        <f t="shared" si="0"/>
        <v>150</v>
      </c>
      <c r="I12" s="70">
        <f t="shared" si="1"/>
        <v>1275</v>
      </c>
    </row>
    <row r="13" spans="1:9" s="3" customFormat="1" ht="9">
      <c r="A13" s="37" t="s">
        <v>40</v>
      </c>
      <c r="B13" s="70">
        <v>39</v>
      </c>
      <c r="C13" s="70">
        <v>132</v>
      </c>
      <c r="D13" s="70"/>
      <c r="E13" s="70">
        <v>110</v>
      </c>
      <c r="F13" s="70">
        <v>767</v>
      </c>
      <c r="G13" s="70"/>
      <c r="H13" s="70">
        <f t="shared" si="0"/>
        <v>149</v>
      </c>
      <c r="I13" s="70">
        <f t="shared" si="1"/>
        <v>899</v>
      </c>
    </row>
    <row r="14" spans="1:9" s="3" customFormat="1" ht="9">
      <c r="A14" s="37" t="s">
        <v>4</v>
      </c>
      <c r="B14" s="71">
        <v>0</v>
      </c>
      <c r="C14" s="71">
        <v>0</v>
      </c>
      <c r="D14" s="70"/>
      <c r="E14" s="70">
        <v>5000</v>
      </c>
      <c r="F14" s="70">
        <v>41650</v>
      </c>
      <c r="G14" s="70"/>
      <c r="H14" s="70">
        <f t="shared" si="0"/>
        <v>5000</v>
      </c>
      <c r="I14" s="70">
        <f t="shared" si="1"/>
        <v>41650</v>
      </c>
    </row>
    <row r="15" spans="1:9" s="3" customFormat="1" ht="9">
      <c r="A15" s="38" t="s">
        <v>5</v>
      </c>
      <c r="B15" s="70">
        <v>150</v>
      </c>
      <c r="C15" s="70">
        <v>1450</v>
      </c>
      <c r="D15" s="70"/>
      <c r="E15" s="71">
        <v>15</v>
      </c>
      <c r="F15" s="71">
        <v>90</v>
      </c>
      <c r="G15" s="70"/>
      <c r="H15" s="70">
        <f t="shared" si="0"/>
        <v>165</v>
      </c>
      <c r="I15" s="70">
        <f t="shared" si="1"/>
        <v>1540</v>
      </c>
    </row>
    <row r="16" spans="1:9" s="3" customFormat="1" ht="9">
      <c r="A16" s="38" t="s">
        <v>6</v>
      </c>
      <c r="B16" s="71">
        <v>0</v>
      </c>
      <c r="C16" s="71">
        <v>0</v>
      </c>
      <c r="D16" s="70"/>
      <c r="E16" s="70">
        <v>60</v>
      </c>
      <c r="F16" s="70">
        <v>185</v>
      </c>
      <c r="G16" s="70"/>
      <c r="H16" s="70">
        <f t="shared" si="0"/>
        <v>60</v>
      </c>
      <c r="I16" s="70">
        <f t="shared" si="1"/>
        <v>185</v>
      </c>
    </row>
    <row r="17" spans="1:9" s="3" customFormat="1" ht="9">
      <c r="A17" s="38" t="s">
        <v>7</v>
      </c>
      <c r="B17" s="70">
        <v>20</v>
      </c>
      <c r="C17" s="70">
        <v>184</v>
      </c>
      <c r="D17" s="70"/>
      <c r="E17" s="70">
        <v>350</v>
      </c>
      <c r="F17" s="70">
        <v>820</v>
      </c>
      <c r="G17" s="70"/>
      <c r="H17" s="70">
        <f t="shared" si="0"/>
        <v>370</v>
      </c>
      <c r="I17" s="70">
        <f t="shared" si="1"/>
        <v>1004</v>
      </c>
    </row>
    <row r="18" spans="1:9" s="3" customFormat="1" ht="9">
      <c r="A18" s="38" t="s">
        <v>8</v>
      </c>
      <c r="B18" s="70">
        <v>4</v>
      </c>
      <c r="C18" s="70">
        <v>40</v>
      </c>
      <c r="D18" s="70"/>
      <c r="E18" s="71">
        <v>300</v>
      </c>
      <c r="F18" s="71">
        <v>1080</v>
      </c>
      <c r="G18" s="70"/>
      <c r="H18" s="70">
        <f t="shared" si="0"/>
        <v>304</v>
      </c>
      <c r="I18" s="70">
        <f t="shared" si="1"/>
        <v>1120</v>
      </c>
    </row>
    <row r="19" spans="1:9" s="3" customFormat="1" ht="9">
      <c r="A19" s="38" t="s">
        <v>10</v>
      </c>
      <c r="B19" s="70">
        <v>350</v>
      </c>
      <c r="C19" s="70">
        <v>4170</v>
      </c>
      <c r="D19" s="70"/>
      <c r="E19" s="70">
        <v>100</v>
      </c>
      <c r="F19" s="70">
        <v>1120</v>
      </c>
      <c r="G19" s="70"/>
      <c r="H19" s="70">
        <f t="shared" si="0"/>
        <v>450</v>
      </c>
      <c r="I19" s="70">
        <f t="shared" si="1"/>
        <v>5290</v>
      </c>
    </row>
    <row r="20" spans="1:9" s="3" customFormat="1" ht="9">
      <c r="A20" s="38" t="s">
        <v>11</v>
      </c>
      <c r="B20" s="71">
        <v>0</v>
      </c>
      <c r="C20" s="71">
        <v>0</v>
      </c>
      <c r="D20" s="70"/>
      <c r="E20" s="70">
        <v>50</v>
      </c>
      <c r="F20" s="70">
        <v>450</v>
      </c>
      <c r="G20" s="70"/>
      <c r="H20" s="70">
        <f t="shared" si="0"/>
        <v>50</v>
      </c>
      <c r="I20" s="70">
        <f t="shared" si="1"/>
        <v>450</v>
      </c>
    </row>
    <row r="21" spans="1:9" s="3" customFormat="1" ht="9">
      <c r="A21" s="38" t="s">
        <v>12</v>
      </c>
      <c r="B21" s="71">
        <v>200</v>
      </c>
      <c r="C21" s="71">
        <v>1000</v>
      </c>
      <c r="D21" s="70"/>
      <c r="E21" s="70">
        <v>90</v>
      </c>
      <c r="F21" s="70">
        <v>600</v>
      </c>
      <c r="G21" s="70"/>
      <c r="H21" s="70">
        <f t="shared" si="0"/>
        <v>290</v>
      </c>
      <c r="I21" s="70">
        <f t="shared" si="1"/>
        <v>1600</v>
      </c>
    </row>
    <row r="22" spans="1:9" s="3" customFormat="1" ht="9">
      <c r="A22" s="38" t="s">
        <v>13</v>
      </c>
      <c r="B22" s="70">
        <v>600</v>
      </c>
      <c r="C22" s="70">
        <v>2500</v>
      </c>
      <c r="D22" s="70"/>
      <c r="E22" s="70">
        <v>150</v>
      </c>
      <c r="F22" s="70">
        <v>1500</v>
      </c>
      <c r="G22" s="70"/>
      <c r="H22" s="70">
        <f t="shared" si="0"/>
        <v>750</v>
      </c>
      <c r="I22" s="70">
        <f t="shared" si="1"/>
        <v>4000</v>
      </c>
    </row>
    <row r="23" spans="1:9" s="3" customFormat="1" ht="9">
      <c r="A23" s="32" t="s">
        <v>15</v>
      </c>
      <c r="B23" s="29">
        <f>SUM(B9:B22)-B10</f>
        <v>1513</v>
      </c>
      <c r="C23" s="29">
        <f>SUM(C9:C22)-C10</f>
        <v>10751</v>
      </c>
      <c r="D23" s="29"/>
      <c r="E23" s="29">
        <f>SUM(E9:E22)-E10</f>
        <v>6494</v>
      </c>
      <c r="F23" s="29">
        <f>SUM(F9:F22)-F10</f>
        <v>49112</v>
      </c>
      <c r="G23" s="29"/>
      <c r="H23" s="29">
        <f>SUM(H9:H22)-H10</f>
        <v>8007</v>
      </c>
      <c r="I23" s="29">
        <f>SUM(I9:I22)-I10</f>
        <v>59863</v>
      </c>
    </row>
    <row r="24" spans="1:9" s="3" customFormat="1" ht="9">
      <c r="A24" s="32" t="s">
        <v>54</v>
      </c>
      <c r="B24" s="29">
        <f>SUM(B9:B14)-B10</f>
        <v>189</v>
      </c>
      <c r="C24" s="29">
        <f>SUM(C9:C14)-C10</f>
        <v>1407</v>
      </c>
      <c r="D24" s="29"/>
      <c r="E24" s="29">
        <f>SUM(E9:E14)-E10</f>
        <v>5379</v>
      </c>
      <c r="F24" s="29">
        <f>SUM(F9:F14)-F10</f>
        <v>43267</v>
      </c>
      <c r="G24" s="29"/>
      <c r="H24" s="29">
        <f>SUM(H9:H14)-H10</f>
        <v>5568</v>
      </c>
      <c r="I24" s="29">
        <f>SUM(I9:I14)-I10</f>
        <v>44674</v>
      </c>
    </row>
    <row r="25" spans="1:9" s="3" customFormat="1" ht="9">
      <c r="A25" s="32" t="s">
        <v>53</v>
      </c>
      <c r="B25" s="29">
        <f>SUM(B15:B18)</f>
        <v>174</v>
      </c>
      <c r="C25" s="29">
        <f>SUM(C15:C18)</f>
        <v>1674</v>
      </c>
      <c r="D25" s="29"/>
      <c r="E25" s="29">
        <f>SUM(E15:E18)</f>
        <v>725</v>
      </c>
      <c r="F25" s="29">
        <f>SUM(F15:F18)</f>
        <v>2175</v>
      </c>
      <c r="G25" s="29"/>
      <c r="H25" s="29">
        <f>SUM(H15:H18)</f>
        <v>899</v>
      </c>
      <c r="I25" s="29">
        <f>SUM(I15:I18)</f>
        <v>3849</v>
      </c>
    </row>
    <row r="26" spans="1:9" s="3" customFormat="1" ht="9">
      <c r="A26" s="32" t="s">
        <v>39</v>
      </c>
      <c r="B26" s="29">
        <f>SUM(B19:B22)</f>
        <v>1150</v>
      </c>
      <c r="C26" s="29">
        <f>SUM(C19:C22)</f>
        <v>7670</v>
      </c>
      <c r="D26" s="29"/>
      <c r="E26" s="29">
        <f>SUM(E19:E22)</f>
        <v>390</v>
      </c>
      <c r="F26" s="29">
        <f>SUM(F19:F22)</f>
        <v>3670</v>
      </c>
      <c r="G26" s="29"/>
      <c r="H26" s="29">
        <f>SUM(H19:H22)</f>
        <v>1540</v>
      </c>
      <c r="I26" s="29">
        <f>SUM(I19:I22)</f>
        <v>11340</v>
      </c>
    </row>
    <row r="27" spans="1:9" s="3" customFormat="1" ht="3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s="3" customFormat="1" ht="9.75" customHeight="1">
      <c r="A28" s="93" t="s">
        <v>16</v>
      </c>
      <c r="B28" s="93"/>
      <c r="C28" s="93"/>
      <c r="D28" s="93"/>
      <c r="E28" s="93"/>
      <c r="F28" s="93"/>
      <c r="G28" s="93"/>
      <c r="H28" s="93"/>
      <c r="I28" s="93"/>
    </row>
    <row r="29" s="3" customFormat="1" ht="3.75" customHeight="1"/>
    <row r="30" spans="1:9" s="3" customFormat="1" ht="9">
      <c r="A30" s="38" t="s">
        <v>17</v>
      </c>
      <c r="B30" s="70">
        <v>220</v>
      </c>
      <c r="C30" s="70">
        <v>1100</v>
      </c>
      <c r="D30" s="70"/>
      <c r="E30" s="71">
        <v>200</v>
      </c>
      <c r="F30" s="71">
        <v>800</v>
      </c>
      <c r="G30" s="70"/>
      <c r="H30" s="70">
        <f>+B30+E30</f>
        <v>420</v>
      </c>
      <c r="I30" s="70">
        <f>+C30+F30</f>
        <v>1900</v>
      </c>
    </row>
    <row r="31" spans="1:9" s="3" customFormat="1" ht="9">
      <c r="A31" s="38" t="s">
        <v>4</v>
      </c>
      <c r="B31" s="71">
        <v>0</v>
      </c>
      <c r="C31" s="71">
        <v>0</v>
      </c>
      <c r="D31" s="70"/>
      <c r="E31" s="71">
        <v>4700</v>
      </c>
      <c r="F31" s="71">
        <v>58885</v>
      </c>
      <c r="G31" s="70"/>
      <c r="H31" s="70">
        <f aca="true" t="shared" si="2" ref="H31:H38">+B31+E31</f>
        <v>4700</v>
      </c>
      <c r="I31" s="70">
        <f aca="true" t="shared" si="3" ref="I31:I38">+C31+F31</f>
        <v>58885</v>
      </c>
    </row>
    <row r="32" spans="1:9" s="3" customFormat="1" ht="9">
      <c r="A32" s="38" t="s">
        <v>5</v>
      </c>
      <c r="B32" s="71">
        <v>0</v>
      </c>
      <c r="C32" s="71">
        <v>0</v>
      </c>
      <c r="D32" s="70"/>
      <c r="E32" s="71">
        <v>15</v>
      </c>
      <c r="F32" s="71">
        <v>85</v>
      </c>
      <c r="G32" s="70"/>
      <c r="H32" s="70">
        <f t="shared" si="2"/>
        <v>15</v>
      </c>
      <c r="I32" s="70">
        <f t="shared" si="3"/>
        <v>85</v>
      </c>
    </row>
    <row r="33" spans="1:9" s="3" customFormat="1" ht="9">
      <c r="A33" s="38" t="s">
        <v>7</v>
      </c>
      <c r="B33" s="70">
        <v>65</v>
      </c>
      <c r="C33" s="70">
        <v>9</v>
      </c>
      <c r="D33" s="70"/>
      <c r="E33" s="71"/>
      <c r="F33" s="71"/>
      <c r="G33" s="70"/>
      <c r="H33" s="70">
        <f t="shared" si="2"/>
        <v>65</v>
      </c>
      <c r="I33" s="70">
        <f t="shared" si="3"/>
        <v>9</v>
      </c>
    </row>
    <row r="34" spans="1:9" s="3" customFormat="1" ht="9">
      <c r="A34" s="38" t="s">
        <v>8</v>
      </c>
      <c r="B34" s="71">
        <v>50</v>
      </c>
      <c r="C34" s="71">
        <v>110</v>
      </c>
      <c r="D34" s="70"/>
      <c r="E34" s="70"/>
      <c r="F34" s="70"/>
      <c r="G34" s="70"/>
      <c r="H34" s="70">
        <f t="shared" si="2"/>
        <v>50</v>
      </c>
      <c r="I34" s="70">
        <f t="shared" si="3"/>
        <v>110</v>
      </c>
    </row>
    <row r="35" spans="1:9" s="3" customFormat="1" ht="9">
      <c r="A35" s="38" t="s">
        <v>10</v>
      </c>
      <c r="B35" s="71">
        <v>300</v>
      </c>
      <c r="C35" s="71">
        <v>3600</v>
      </c>
      <c r="D35" s="70"/>
      <c r="E35" s="70">
        <v>400</v>
      </c>
      <c r="F35" s="70">
        <v>4400</v>
      </c>
      <c r="G35" s="70"/>
      <c r="H35" s="70">
        <f t="shared" si="2"/>
        <v>700</v>
      </c>
      <c r="I35" s="70">
        <f t="shared" si="3"/>
        <v>8000</v>
      </c>
    </row>
    <row r="36" spans="1:9" s="3" customFormat="1" ht="9">
      <c r="A36" s="38" t="s">
        <v>11</v>
      </c>
      <c r="B36" s="71">
        <v>0</v>
      </c>
      <c r="C36" s="71">
        <v>0</v>
      </c>
      <c r="D36" s="70"/>
      <c r="E36" s="70">
        <v>10</v>
      </c>
      <c r="F36" s="70">
        <v>20</v>
      </c>
      <c r="G36" s="70"/>
      <c r="H36" s="70">
        <f t="shared" si="2"/>
        <v>10</v>
      </c>
      <c r="I36" s="70">
        <f t="shared" si="3"/>
        <v>20</v>
      </c>
    </row>
    <row r="37" spans="1:9" s="3" customFormat="1" ht="9">
      <c r="A37" s="38" t="s">
        <v>12</v>
      </c>
      <c r="B37" s="70">
        <v>85</v>
      </c>
      <c r="C37" s="70">
        <v>270</v>
      </c>
      <c r="D37" s="70"/>
      <c r="E37" s="70">
        <v>100</v>
      </c>
      <c r="F37" s="70">
        <v>365</v>
      </c>
      <c r="G37" s="70"/>
      <c r="H37" s="70">
        <f t="shared" si="2"/>
        <v>185</v>
      </c>
      <c r="I37" s="70">
        <f t="shared" si="3"/>
        <v>635</v>
      </c>
    </row>
    <row r="38" spans="1:9" s="3" customFormat="1" ht="9">
      <c r="A38" s="38" t="s">
        <v>13</v>
      </c>
      <c r="B38" s="71">
        <v>0</v>
      </c>
      <c r="C38" s="71">
        <v>0</v>
      </c>
      <c r="D38" s="70"/>
      <c r="E38" s="70">
        <v>120</v>
      </c>
      <c r="F38" s="70">
        <v>600</v>
      </c>
      <c r="G38" s="70"/>
      <c r="H38" s="70">
        <f t="shared" si="2"/>
        <v>120</v>
      </c>
      <c r="I38" s="70">
        <f t="shared" si="3"/>
        <v>600</v>
      </c>
    </row>
    <row r="39" spans="1:9" s="3" customFormat="1" ht="9">
      <c r="A39" s="32" t="s">
        <v>15</v>
      </c>
      <c r="B39" s="29">
        <f>SUM(B30:B38)</f>
        <v>720</v>
      </c>
      <c r="C39" s="29">
        <f>SUM(C30:C38)</f>
        <v>5089</v>
      </c>
      <c r="D39" s="29"/>
      <c r="E39" s="29">
        <f>SUM(E30:E38)</f>
        <v>5545</v>
      </c>
      <c r="F39" s="29">
        <f>SUM(F30:F38)</f>
        <v>65155</v>
      </c>
      <c r="G39" s="29"/>
      <c r="H39" s="29">
        <f>SUM(H30:H38)</f>
        <v>6265</v>
      </c>
      <c r="I39" s="29">
        <f>SUM(I30:I38)</f>
        <v>70244</v>
      </c>
    </row>
    <row r="40" spans="1:9" s="3" customFormat="1" ht="9">
      <c r="A40" s="32" t="s">
        <v>54</v>
      </c>
      <c r="B40" s="7">
        <f>SUM(B30:B31)</f>
        <v>220</v>
      </c>
      <c r="C40" s="7">
        <f>SUM(C30:C31)</f>
        <v>1100</v>
      </c>
      <c r="D40" s="7"/>
      <c r="E40" s="7">
        <f>SUM(E30:E31)</f>
        <v>4900</v>
      </c>
      <c r="F40" s="7">
        <f>SUM(F30:F31)</f>
        <v>59685</v>
      </c>
      <c r="G40" s="7"/>
      <c r="H40" s="7">
        <f>SUM(H30:H31)</f>
        <v>5120</v>
      </c>
      <c r="I40" s="7">
        <f>SUM(I30:I31)</f>
        <v>60785</v>
      </c>
    </row>
    <row r="41" spans="1:9" s="3" customFormat="1" ht="9">
      <c r="A41" s="32" t="s">
        <v>53</v>
      </c>
      <c r="B41" s="7">
        <f>SUM(B32:B34)</f>
        <v>115</v>
      </c>
      <c r="C41" s="7">
        <f>SUM(C32:C34)</f>
        <v>119</v>
      </c>
      <c r="D41" s="7"/>
      <c r="E41" s="7">
        <f>SUM(E32:E34)</f>
        <v>15</v>
      </c>
      <c r="F41" s="7">
        <f>SUM(F32:F34)</f>
        <v>85</v>
      </c>
      <c r="G41" s="7"/>
      <c r="H41" s="7">
        <f>SUM(H32:H34)</f>
        <v>130</v>
      </c>
      <c r="I41" s="7">
        <f>SUM(I32:I34)</f>
        <v>204</v>
      </c>
    </row>
    <row r="42" spans="1:9" s="3" customFormat="1" ht="9">
      <c r="A42" s="32" t="s">
        <v>39</v>
      </c>
      <c r="B42" s="7">
        <f>SUM(B35:B38)</f>
        <v>385</v>
      </c>
      <c r="C42" s="7">
        <f>SUM(C35:C38)</f>
        <v>3870</v>
      </c>
      <c r="D42" s="7"/>
      <c r="E42" s="7">
        <f>SUM(E35:E38)</f>
        <v>630</v>
      </c>
      <c r="F42" s="7">
        <f>SUM(F35:F38)</f>
        <v>5385</v>
      </c>
      <c r="G42" s="7"/>
      <c r="H42" s="7">
        <f>SUM(H35:H38)</f>
        <v>1015</v>
      </c>
      <c r="I42" s="7">
        <f>SUM(I35:I38)</f>
        <v>9255</v>
      </c>
    </row>
    <row r="43" spans="1:9" s="3" customFormat="1" ht="3.75" customHeight="1">
      <c r="A43" s="32"/>
      <c r="B43" s="7"/>
      <c r="C43" s="7"/>
      <c r="D43" s="7"/>
      <c r="E43" s="7"/>
      <c r="F43" s="7"/>
      <c r="G43" s="7"/>
      <c r="H43" s="7"/>
      <c r="I43" s="7"/>
    </row>
    <row r="44" spans="1:9" s="3" customFormat="1" ht="7.5" customHeight="1">
      <c r="A44" s="93" t="s">
        <v>18</v>
      </c>
      <c r="B44" s="93"/>
      <c r="C44" s="93"/>
      <c r="D44" s="93"/>
      <c r="E44" s="93"/>
      <c r="F44" s="93"/>
      <c r="G44" s="93"/>
      <c r="H44" s="93"/>
      <c r="I44" s="93"/>
    </row>
    <row r="45" s="3" customFormat="1" ht="5.25" customHeight="1"/>
    <row r="46" spans="1:9" s="3" customFormat="1" ht="9" customHeight="1">
      <c r="A46" s="38" t="s">
        <v>2</v>
      </c>
      <c r="B46" s="71">
        <v>103</v>
      </c>
      <c r="C46" s="71">
        <v>51</v>
      </c>
      <c r="D46" s="71"/>
      <c r="E46" s="75">
        <v>20</v>
      </c>
      <c r="F46" s="75">
        <v>40</v>
      </c>
      <c r="G46" s="2"/>
      <c r="H46" s="2">
        <f aca="true" t="shared" si="4" ref="H46:I48">+B46+E46</f>
        <v>123</v>
      </c>
      <c r="I46" s="2">
        <f t="shared" si="4"/>
        <v>91</v>
      </c>
    </row>
    <row r="47" spans="1:9" s="3" customFormat="1" ht="9.75" customHeight="1">
      <c r="A47" s="38" t="s">
        <v>47</v>
      </c>
      <c r="B47" s="71">
        <v>25</v>
      </c>
      <c r="C47" s="71">
        <v>100</v>
      </c>
      <c r="D47" s="71"/>
      <c r="E47" s="75">
        <v>0</v>
      </c>
      <c r="F47" s="75">
        <v>0</v>
      </c>
      <c r="G47" s="2"/>
      <c r="H47" s="2">
        <f t="shared" si="4"/>
        <v>25</v>
      </c>
      <c r="I47" s="2">
        <f t="shared" si="4"/>
        <v>100</v>
      </c>
    </row>
    <row r="48" spans="1:9" s="3" customFormat="1" ht="9">
      <c r="A48" s="38" t="s">
        <v>3</v>
      </c>
      <c r="B48" s="71">
        <v>164</v>
      </c>
      <c r="C48" s="71">
        <v>599</v>
      </c>
      <c r="D48" s="71"/>
      <c r="E48" s="71">
        <v>109</v>
      </c>
      <c r="F48" s="71">
        <v>343</v>
      </c>
      <c r="G48" s="2"/>
      <c r="H48" s="2">
        <f t="shared" si="4"/>
        <v>273</v>
      </c>
      <c r="I48" s="2">
        <f t="shared" si="4"/>
        <v>942</v>
      </c>
    </row>
    <row r="49" spans="1:9" s="3" customFormat="1" ht="9">
      <c r="A49" s="37" t="s">
        <v>38</v>
      </c>
      <c r="B49" s="71">
        <f>SUM(B50)</f>
        <v>4</v>
      </c>
      <c r="C49" s="71">
        <f>SUM(C50)</f>
        <v>10</v>
      </c>
      <c r="D49" s="71"/>
      <c r="E49" s="71">
        <f>SUM(E50)</f>
        <v>0</v>
      </c>
      <c r="F49" s="71">
        <f>SUM(F50)</f>
        <v>0</v>
      </c>
      <c r="G49" s="2"/>
      <c r="H49" s="2">
        <f>SUM(H50)</f>
        <v>4</v>
      </c>
      <c r="I49" s="2">
        <f>SUM(I50)</f>
        <v>10</v>
      </c>
    </row>
    <row r="50" spans="1:9" s="10" customFormat="1" ht="9">
      <c r="A50" s="39" t="s">
        <v>19</v>
      </c>
      <c r="B50" s="76">
        <v>4</v>
      </c>
      <c r="C50" s="76">
        <v>10</v>
      </c>
      <c r="D50" s="76"/>
      <c r="E50" s="75">
        <v>0</v>
      </c>
      <c r="F50" s="75">
        <v>0</v>
      </c>
      <c r="G50" s="11"/>
      <c r="H50" s="11">
        <f aca="true" t="shared" si="5" ref="H50:H64">+B50+E50</f>
        <v>4</v>
      </c>
      <c r="I50" s="11">
        <f aca="true" t="shared" si="6" ref="I50:I64">+C50+F50</f>
        <v>10</v>
      </c>
    </row>
    <row r="51" spans="1:9" s="3" customFormat="1" ht="9">
      <c r="A51" s="38" t="s">
        <v>17</v>
      </c>
      <c r="B51" s="70">
        <v>770</v>
      </c>
      <c r="C51" s="70">
        <v>2357</v>
      </c>
      <c r="D51" s="70"/>
      <c r="E51" s="70">
        <v>700</v>
      </c>
      <c r="F51" s="70">
        <v>1260</v>
      </c>
      <c r="G51" s="43"/>
      <c r="H51" s="2">
        <f t="shared" si="5"/>
        <v>1470</v>
      </c>
      <c r="I51" s="2">
        <f t="shared" si="6"/>
        <v>3617</v>
      </c>
    </row>
    <row r="52" spans="1:9" s="3" customFormat="1" ht="9">
      <c r="A52" s="37" t="s">
        <v>40</v>
      </c>
      <c r="B52" s="70">
        <v>29</v>
      </c>
      <c r="C52" s="70">
        <v>126</v>
      </c>
      <c r="D52" s="70"/>
      <c r="E52" s="70">
        <v>10</v>
      </c>
      <c r="F52" s="70">
        <v>49</v>
      </c>
      <c r="G52" s="27"/>
      <c r="H52" s="2">
        <f t="shared" si="5"/>
        <v>39</v>
      </c>
      <c r="I52" s="2">
        <f t="shared" si="6"/>
        <v>175</v>
      </c>
    </row>
    <row r="53" spans="1:9" s="3" customFormat="1" ht="9">
      <c r="A53" s="37" t="s">
        <v>4</v>
      </c>
      <c r="B53" s="70">
        <v>750</v>
      </c>
      <c r="C53" s="70">
        <v>2775</v>
      </c>
      <c r="D53" s="70"/>
      <c r="E53" s="70">
        <v>700</v>
      </c>
      <c r="F53" s="70">
        <v>2275</v>
      </c>
      <c r="G53" s="27"/>
      <c r="H53" s="2">
        <f t="shared" si="5"/>
        <v>1450</v>
      </c>
      <c r="I53" s="2">
        <f t="shared" si="6"/>
        <v>5050</v>
      </c>
    </row>
    <row r="54" spans="1:9" s="3" customFormat="1" ht="9">
      <c r="A54" s="37" t="s">
        <v>20</v>
      </c>
      <c r="B54" s="70">
        <v>110</v>
      </c>
      <c r="C54" s="70">
        <v>610</v>
      </c>
      <c r="D54" s="70"/>
      <c r="E54" s="70">
        <v>260</v>
      </c>
      <c r="F54" s="70">
        <v>1623</v>
      </c>
      <c r="G54" s="27"/>
      <c r="H54" s="2">
        <f t="shared" si="5"/>
        <v>370</v>
      </c>
      <c r="I54" s="2">
        <f t="shared" si="6"/>
        <v>2233</v>
      </c>
    </row>
    <row r="55" spans="1:9" s="3" customFormat="1" ht="9">
      <c r="A55" s="38" t="s">
        <v>5</v>
      </c>
      <c r="B55" s="70">
        <v>1530</v>
      </c>
      <c r="C55" s="70">
        <v>4905</v>
      </c>
      <c r="D55" s="70"/>
      <c r="E55" s="70">
        <v>550</v>
      </c>
      <c r="F55" s="70">
        <v>1630</v>
      </c>
      <c r="G55" s="27"/>
      <c r="H55" s="2">
        <f t="shared" si="5"/>
        <v>2080</v>
      </c>
      <c r="I55" s="2">
        <f t="shared" si="6"/>
        <v>6535</v>
      </c>
    </row>
    <row r="56" spans="1:9" s="3" customFormat="1" ht="9">
      <c r="A56" s="38" t="s">
        <v>6</v>
      </c>
      <c r="B56" s="70">
        <v>100</v>
      </c>
      <c r="C56" s="70">
        <v>220</v>
      </c>
      <c r="D56" s="70"/>
      <c r="E56" s="70">
        <v>45</v>
      </c>
      <c r="F56" s="70">
        <v>142</v>
      </c>
      <c r="G56" s="27"/>
      <c r="H56" s="2">
        <f t="shared" si="5"/>
        <v>145</v>
      </c>
      <c r="I56" s="2">
        <f t="shared" si="6"/>
        <v>362</v>
      </c>
    </row>
    <row r="57" spans="1:9" s="3" customFormat="1" ht="9">
      <c r="A57" s="38" t="s">
        <v>7</v>
      </c>
      <c r="B57" s="70">
        <v>130</v>
      </c>
      <c r="C57" s="70">
        <v>99</v>
      </c>
      <c r="D57" s="70"/>
      <c r="E57" s="70">
        <v>140</v>
      </c>
      <c r="F57" s="70">
        <v>490</v>
      </c>
      <c r="G57" s="27"/>
      <c r="H57" s="2">
        <f t="shared" si="5"/>
        <v>270</v>
      </c>
      <c r="I57" s="2">
        <f t="shared" si="6"/>
        <v>589</v>
      </c>
    </row>
    <row r="58" spans="1:9" s="3" customFormat="1" ht="9">
      <c r="A58" s="38" t="s">
        <v>8</v>
      </c>
      <c r="B58" s="70">
        <v>250</v>
      </c>
      <c r="C58" s="70">
        <v>644</v>
      </c>
      <c r="D58" s="70"/>
      <c r="E58" s="75">
        <v>0</v>
      </c>
      <c r="F58" s="75">
        <v>0</v>
      </c>
      <c r="G58" s="27"/>
      <c r="H58" s="2">
        <f t="shared" si="5"/>
        <v>250</v>
      </c>
      <c r="I58" s="2">
        <f t="shared" si="6"/>
        <v>644</v>
      </c>
    </row>
    <row r="59" spans="1:9" s="3" customFormat="1" ht="9">
      <c r="A59" s="38" t="s">
        <v>9</v>
      </c>
      <c r="B59" s="70">
        <v>30</v>
      </c>
      <c r="C59" s="70">
        <v>117</v>
      </c>
      <c r="D59" s="70"/>
      <c r="E59" s="70">
        <v>20</v>
      </c>
      <c r="F59" s="70">
        <v>29</v>
      </c>
      <c r="G59" s="27"/>
      <c r="H59" s="2">
        <f t="shared" si="5"/>
        <v>50</v>
      </c>
      <c r="I59" s="2">
        <f t="shared" si="6"/>
        <v>146</v>
      </c>
    </row>
    <row r="60" spans="1:9" s="3" customFormat="1" ht="9">
      <c r="A60" s="38" t="s">
        <v>10</v>
      </c>
      <c r="B60" s="70">
        <v>1660</v>
      </c>
      <c r="C60" s="70">
        <v>3250</v>
      </c>
      <c r="D60" s="70"/>
      <c r="E60" s="70">
        <v>1000</v>
      </c>
      <c r="F60" s="70">
        <v>1730</v>
      </c>
      <c r="G60" s="43"/>
      <c r="H60" s="2">
        <f t="shared" si="5"/>
        <v>2660</v>
      </c>
      <c r="I60" s="2">
        <f t="shared" si="6"/>
        <v>4980</v>
      </c>
    </row>
    <row r="61" spans="1:9" s="3" customFormat="1" ht="9">
      <c r="A61" s="38" t="s">
        <v>11</v>
      </c>
      <c r="B61" s="70">
        <v>600</v>
      </c>
      <c r="C61" s="70">
        <v>3090</v>
      </c>
      <c r="D61" s="70"/>
      <c r="E61" s="70">
        <v>60</v>
      </c>
      <c r="F61" s="70">
        <v>110</v>
      </c>
      <c r="G61" s="27"/>
      <c r="H61" s="2">
        <f t="shared" si="5"/>
        <v>660</v>
      </c>
      <c r="I61" s="2">
        <f t="shared" si="6"/>
        <v>3200</v>
      </c>
    </row>
    <row r="62" spans="1:9" s="3" customFormat="1" ht="9">
      <c r="A62" s="38" t="s">
        <v>12</v>
      </c>
      <c r="B62" s="70">
        <v>10</v>
      </c>
      <c r="C62" s="70">
        <v>50</v>
      </c>
      <c r="D62" s="70"/>
      <c r="E62" s="75">
        <v>0</v>
      </c>
      <c r="F62" s="75">
        <v>0</v>
      </c>
      <c r="G62" s="27"/>
      <c r="H62" s="2">
        <f t="shared" si="5"/>
        <v>10</v>
      </c>
      <c r="I62" s="2">
        <f t="shared" si="6"/>
        <v>50</v>
      </c>
    </row>
    <row r="63" spans="1:9" s="3" customFormat="1" ht="9">
      <c r="A63" s="38" t="s">
        <v>13</v>
      </c>
      <c r="B63" s="70">
        <v>25</v>
      </c>
      <c r="C63" s="70">
        <v>100</v>
      </c>
      <c r="D63" s="70"/>
      <c r="E63" s="70">
        <v>350</v>
      </c>
      <c r="F63" s="70">
        <v>1300</v>
      </c>
      <c r="G63" s="43"/>
      <c r="H63" s="2">
        <f t="shared" si="5"/>
        <v>375</v>
      </c>
      <c r="I63" s="2">
        <f t="shared" si="6"/>
        <v>1400</v>
      </c>
    </row>
    <row r="64" spans="1:9" s="3" customFormat="1" ht="9">
      <c r="A64" s="38" t="s">
        <v>14</v>
      </c>
      <c r="B64" s="70">
        <v>65</v>
      </c>
      <c r="C64" s="70">
        <v>250</v>
      </c>
      <c r="D64" s="70"/>
      <c r="E64" s="75">
        <v>0</v>
      </c>
      <c r="F64" s="75">
        <v>0</v>
      </c>
      <c r="G64" s="43"/>
      <c r="H64" s="2">
        <f t="shared" si="5"/>
        <v>65</v>
      </c>
      <c r="I64" s="2">
        <f t="shared" si="6"/>
        <v>250</v>
      </c>
    </row>
    <row r="65" spans="1:9" s="3" customFormat="1" ht="8.25" customHeight="1">
      <c r="A65" s="32" t="s">
        <v>15</v>
      </c>
      <c r="B65" s="29">
        <f>SUM(B46:B64)-B49</f>
        <v>6355</v>
      </c>
      <c r="C65" s="29">
        <f>SUM(C46:C64)-C49</f>
        <v>19353</v>
      </c>
      <c r="D65" s="29"/>
      <c r="E65" s="29">
        <f>SUM(E46:E64)-E49</f>
        <v>3964</v>
      </c>
      <c r="F65" s="29">
        <f>SUM(F46:F64)-F49</f>
        <v>11021</v>
      </c>
      <c r="G65" s="29"/>
      <c r="H65" s="29">
        <f>SUM(H46:H64)-H49</f>
        <v>10319</v>
      </c>
      <c r="I65" s="29">
        <f>SUM(I46:I64)-I49</f>
        <v>30374</v>
      </c>
    </row>
    <row r="66" spans="1:9" s="3" customFormat="1" ht="9">
      <c r="A66" s="32" t="s">
        <v>54</v>
      </c>
      <c r="B66" s="29">
        <f>SUM(B46:B54)-B49</f>
        <v>1955</v>
      </c>
      <c r="C66" s="29">
        <f>SUM(C46:C54)-C49</f>
        <v>6628</v>
      </c>
      <c r="D66" s="29"/>
      <c r="E66" s="29">
        <f>SUM(E46:E54)-E49</f>
        <v>1799</v>
      </c>
      <c r="F66" s="29">
        <f>SUM(F46:F54)-F49</f>
        <v>5590</v>
      </c>
      <c r="G66" s="29"/>
      <c r="H66" s="29">
        <f>SUM(H46:H54)-H49</f>
        <v>3754</v>
      </c>
      <c r="I66" s="29">
        <f>SUM(I46:I54)-I49</f>
        <v>12218</v>
      </c>
    </row>
    <row r="67" spans="1:9" s="3" customFormat="1" ht="9">
      <c r="A67" s="32" t="s">
        <v>53</v>
      </c>
      <c r="B67" s="29">
        <f>SUM(B55:B58)</f>
        <v>2010</v>
      </c>
      <c r="C67" s="29">
        <f>SUM(C55:C58)</f>
        <v>5868</v>
      </c>
      <c r="D67" s="29"/>
      <c r="E67" s="29">
        <f>SUM(E55:E58)</f>
        <v>735</v>
      </c>
      <c r="F67" s="29">
        <f>SUM(F55:F58)</f>
        <v>2262</v>
      </c>
      <c r="G67" s="29"/>
      <c r="H67" s="29">
        <f>SUM(H55:H58)</f>
        <v>2745</v>
      </c>
      <c r="I67" s="29">
        <f>SUM(I55:I58)</f>
        <v>8130</v>
      </c>
    </row>
    <row r="68" spans="1:9" s="3" customFormat="1" ht="9">
      <c r="A68" s="32" t="s">
        <v>39</v>
      </c>
      <c r="B68" s="29">
        <f>SUM(B59:B64)</f>
        <v>2390</v>
      </c>
      <c r="C68" s="29">
        <f>SUM(C59:C64)</f>
        <v>6857</v>
      </c>
      <c r="D68" s="29"/>
      <c r="E68" s="29">
        <f>SUM(E59:E64)</f>
        <v>1430</v>
      </c>
      <c r="F68" s="29">
        <f>SUM(F59:F64)</f>
        <v>3169</v>
      </c>
      <c r="G68" s="29"/>
      <c r="H68" s="29">
        <f>SUM(H59:H64)</f>
        <v>3820</v>
      </c>
      <c r="I68" s="29">
        <f>SUM(I59:I64)</f>
        <v>10026</v>
      </c>
    </row>
    <row r="69" spans="1:9" s="4" customFormat="1" ht="9" customHeight="1">
      <c r="A69" s="1"/>
      <c r="B69" s="1"/>
      <c r="C69" s="1"/>
      <c r="D69" s="1"/>
      <c r="E69" s="1"/>
      <c r="F69" s="1"/>
      <c r="G69" s="1"/>
      <c r="H69" s="1"/>
      <c r="I69" s="1"/>
    </row>
  </sheetData>
  <mergeCells count="7">
    <mergeCell ref="A44:I44"/>
    <mergeCell ref="A28:I28"/>
    <mergeCell ref="A8:I8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20" customWidth="1"/>
    <col min="2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2.75" customHeight="1">
      <c r="A8" s="93" t="s">
        <v>25</v>
      </c>
      <c r="B8" s="93"/>
      <c r="C8" s="93"/>
      <c r="D8" s="93"/>
      <c r="E8" s="93"/>
      <c r="F8" s="93"/>
      <c r="G8" s="93"/>
      <c r="H8" s="93"/>
      <c r="I8" s="93"/>
    </row>
    <row r="9" s="3" customFormat="1" ht="9"/>
    <row r="10" spans="1:9" s="3" customFormat="1" ht="9">
      <c r="A10" s="38" t="s">
        <v>2</v>
      </c>
      <c r="B10" s="27">
        <v>420</v>
      </c>
      <c r="C10" s="27">
        <v>820</v>
      </c>
      <c r="D10" s="27"/>
      <c r="E10" s="70">
        <v>2805</v>
      </c>
      <c r="F10" s="70">
        <v>6678</v>
      </c>
      <c r="G10" s="43"/>
      <c r="H10" s="72">
        <f>+B10+E10</f>
        <v>3225</v>
      </c>
      <c r="I10" s="43">
        <f>+C10+F10</f>
        <v>7498</v>
      </c>
    </row>
    <row r="11" spans="1:9" s="3" customFormat="1" ht="9">
      <c r="A11" s="38" t="s">
        <v>3</v>
      </c>
      <c r="B11" s="27">
        <v>480</v>
      </c>
      <c r="C11" s="43">
        <v>1847</v>
      </c>
      <c r="D11" s="43"/>
      <c r="E11" s="70">
        <v>2022</v>
      </c>
      <c r="F11" s="70">
        <v>2937</v>
      </c>
      <c r="G11" s="43"/>
      <c r="H11" s="72">
        <f>+B11+E11</f>
        <v>2502</v>
      </c>
      <c r="I11" s="43">
        <f>+C11+F11</f>
        <v>4784</v>
      </c>
    </row>
    <row r="12" spans="1:9" s="3" customFormat="1" ht="9">
      <c r="A12" s="37" t="s">
        <v>38</v>
      </c>
      <c r="B12" s="2">
        <f>SUM(B13:B14)</f>
        <v>0</v>
      </c>
      <c r="C12" s="2">
        <f>SUM(C13:C14)</f>
        <v>0</v>
      </c>
      <c r="D12" s="2"/>
      <c r="E12" s="71">
        <f>SUM(E13:E14)</f>
        <v>8</v>
      </c>
      <c r="F12" s="71">
        <f>SUM(F13:F14)</f>
        <v>24</v>
      </c>
      <c r="G12" s="2"/>
      <c r="H12" s="2">
        <f>SUM(H13:H14)</f>
        <v>8</v>
      </c>
      <c r="I12" s="43">
        <f>SUM(I13:I14)</f>
        <v>24</v>
      </c>
    </row>
    <row r="13" spans="1:9" s="10" customFormat="1" ht="9">
      <c r="A13" s="39" t="s">
        <v>21</v>
      </c>
      <c r="B13" s="69">
        <v>0</v>
      </c>
      <c r="C13" s="69">
        <v>0</v>
      </c>
      <c r="D13" s="27"/>
      <c r="E13" s="77">
        <v>3</v>
      </c>
      <c r="F13" s="77">
        <v>9</v>
      </c>
      <c r="G13" s="44"/>
      <c r="H13" s="78">
        <f aca="true" t="shared" si="0" ref="H13:H28">+B13+E13</f>
        <v>3</v>
      </c>
      <c r="I13" s="45">
        <f aca="true" t="shared" si="1" ref="I13:I28">+C13+F13</f>
        <v>9</v>
      </c>
    </row>
    <row r="14" spans="1:9" s="10" customFormat="1" ht="9">
      <c r="A14" s="39" t="s">
        <v>19</v>
      </c>
      <c r="B14" s="69">
        <v>0</v>
      </c>
      <c r="C14" s="69">
        <v>0</v>
      </c>
      <c r="D14" s="27"/>
      <c r="E14" s="77">
        <v>5</v>
      </c>
      <c r="F14" s="77">
        <v>15</v>
      </c>
      <c r="G14" s="44"/>
      <c r="H14" s="78">
        <f t="shared" si="0"/>
        <v>5</v>
      </c>
      <c r="I14" s="45">
        <f t="shared" si="1"/>
        <v>15</v>
      </c>
    </row>
    <row r="15" spans="1:9" s="3" customFormat="1" ht="9">
      <c r="A15" s="38" t="s">
        <v>17</v>
      </c>
      <c r="B15" s="43">
        <v>1835</v>
      </c>
      <c r="C15" s="43">
        <v>6902</v>
      </c>
      <c r="D15" s="43"/>
      <c r="E15" s="70">
        <v>2348</v>
      </c>
      <c r="F15" s="70">
        <v>5512</v>
      </c>
      <c r="G15" s="43"/>
      <c r="H15" s="72">
        <f t="shared" si="0"/>
        <v>4183</v>
      </c>
      <c r="I15" s="43">
        <f t="shared" si="1"/>
        <v>12414</v>
      </c>
    </row>
    <row r="16" spans="1:9" s="3" customFormat="1" ht="9">
      <c r="A16" s="37" t="s">
        <v>41</v>
      </c>
      <c r="B16" s="27">
        <v>132</v>
      </c>
      <c r="C16" s="27">
        <v>215</v>
      </c>
      <c r="D16" s="27"/>
      <c r="E16" s="70">
        <v>325</v>
      </c>
      <c r="F16" s="70">
        <v>1000</v>
      </c>
      <c r="G16" s="27"/>
      <c r="H16" s="72">
        <f t="shared" si="0"/>
        <v>457</v>
      </c>
      <c r="I16" s="43">
        <f t="shared" si="1"/>
        <v>1215</v>
      </c>
    </row>
    <row r="17" spans="1:10" s="3" customFormat="1" ht="9">
      <c r="A17" s="37" t="s">
        <v>4</v>
      </c>
      <c r="B17" s="69">
        <v>0</v>
      </c>
      <c r="C17" s="69">
        <v>0</v>
      </c>
      <c r="D17" s="27"/>
      <c r="E17" s="70">
        <v>500</v>
      </c>
      <c r="F17" s="70">
        <v>1300</v>
      </c>
      <c r="G17" s="27"/>
      <c r="H17" s="72">
        <f t="shared" si="0"/>
        <v>500</v>
      </c>
      <c r="I17" s="43">
        <f t="shared" si="1"/>
        <v>1300</v>
      </c>
      <c r="J17" s="43"/>
    </row>
    <row r="18" spans="1:10" s="3" customFormat="1" ht="9">
      <c r="A18" s="37" t="s">
        <v>20</v>
      </c>
      <c r="B18" s="27">
        <v>78</v>
      </c>
      <c r="C18" s="27">
        <v>393</v>
      </c>
      <c r="D18" s="27"/>
      <c r="E18" s="70">
        <v>870</v>
      </c>
      <c r="F18" s="70">
        <v>2830</v>
      </c>
      <c r="G18" s="43"/>
      <c r="H18" s="72">
        <f t="shared" si="0"/>
        <v>948</v>
      </c>
      <c r="I18" s="43">
        <f t="shared" si="1"/>
        <v>3223</v>
      </c>
      <c r="J18" s="43"/>
    </row>
    <row r="19" spans="1:10" s="3" customFormat="1" ht="9">
      <c r="A19" s="38" t="s">
        <v>5</v>
      </c>
      <c r="B19" s="43">
        <v>630</v>
      </c>
      <c r="C19" s="27">
        <v>1945</v>
      </c>
      <c r="D19" s="27"/>
      <c r="E19" s="70">
        <v>4370</v>
      </c>
      <c r="F19" s="70">
        <v>10970</v>
      </c>
      <c r="G19" s="27"/>
      <c r="H19" s="72">
        <f t="shared" si="0"/>
        <v>5000</v>
      </c>
      <c r="I19" s="43">
        <f t="shared" si="1"/>
        <v>12915</v>
      </c>
      <c r="J19" s="43"/>
    </row>
    <row r="20" spans="1:10" s="3" customFormat="1" ht="9">
      <c r="A20" s="38" t="s">
        <v>6</v>
      </c>
      <c r="B20" s="27">
        <v>600</v>
      </c>
      <c r="C20" s="43">
        <v>2250</v>
      </c>
      <c r="D20" s="43"/>
      <c r="E20" s="70">
        <v>120</v>
      </c>
      <c r="F20" s="70">
        <v>350</v>
      </c>
      <c r="G20" s="27"/>
      <c r="H20" s="72">
        <f t="shared" si="0"/>
        <v>720</v>
      </c>
      <c r="I20" s="43">
        <f t="shared" si="1"/>
        <v>2600</v>
      </c>
      <c r="J20" s="43"/>
    </row>
    <row r="21" spans="1:9" s="3" customFormat="1" ht="9">
      <c r="A21" s="38" t="s">
        <v>7</v>
      </c>
      <c r="B21" s="27">
        <v>250</v>
      </c>
      <c r="C21" s="27">
        <v>500</v>
      </c>
      <c r="D21" s="27"/>
      <c r="E21" s="70">
        <v>420</v>
      </c>
      <c r="F21" s="70">
        <v>623</v>
      </c>
      <c r="G21" s="27"/>
      <c r="H21" s="72">
        <f t="shared" si="0"/>
        <v>670</v>
      </c>
      <c r="I21" s="43">
        <f t="shared" si="1"/>
        <v>1123</v>
      </c>
    </row>
    <row r="22" spans="1:9" s="3" customFormat="1" ht="9">
      <c r="A22" s="38" t="s">
        <v>8</v>
      </c>
      <c r="B22" s="43">
        <v>1400</v>
      </c>
      <c r="C22" s="43">
        <v>4000</v>
      </c>
      <c r="D22" s="43"/>
      <c r="E22" s="70">
        <v>1850</v>
      </c>
      <c r="F22" s="70">
        <v>3318</v>
      </c>
      <c r="G22" s="43"/>
      <c r="H22" s="72">
        <f t="shared" si="0"/>
        <v>3250</v>
      </c>
      <c r="I22" s="43">
        <f t="shared" si="1"/>
        <v>7318</v>
      </c>
    </row>
    <row r="23" spans="1:9" s="3" customFormat="1" ht="9">
      <c r="A23" s="38" t="s">
        <v>9</v>
      </c>
      <c r="B23" s="27">
        <v>150</v>
      </c>
      <c r="C23" s="27">
        <v>146</v>
      </c>
      <c r="D23" s="27"/>
      <c r="E23" s="70">
        <v>170</v>
      </c>
      <c r="F23" s="70">
        <v>138</v>
      </c>
      <c r="G23" s="27"/>
      <c r="H23" s="72">
        <f t="shared" si="0"/>
        <v>320</v>
      </c>
      <c r="I23" s="43">
        <f t="shared" si="1"/>
        <v>284</v>
      </c>
    </row>
    <row r="24" spans="1:9" s="3" customFormat="1" ht="9">
      <c r="A24" s="38" t="s">
        <v>10</v>
      </c>
      <c r="B24" s="43">
        <v>5280</v>
      </c>
      <c r="C24" s="43">
        <v>13748</v>
      </c>
      <c r="D24" s="43"/>
      <c r="E24" s="70">
        <v>6750</v>
      </c>
      <c r="F24" s="70">
        <v>12900</v>
      </c>
      <c r="G24" s="43"/>
      <c r="H24" s="72">
        <f t="shared" si="0"/>
        <v>12030</v>
      </c>
      <c r="I24" s="43">
        <f t="shared" si="1"/>
        <v>26648</v>
      </c>
    </row>
    <row r="25" spans="1:9" s="3" customFormat="1" ht="9">
      <c r="A25" s="38" t="s">
        <v>11</v>
      </c>
      <c r="B25" s="43">
        <v>7470</v>
      </c>
      <c r="C25" s="43">
        <v>18605</v>
      </c>
      <c r="D25" s="43"/>
      <c r="E25" s="70">
        <v>1140</v>
      </c>
      <c r="F25" s="70">
        <v>2380</v>
      </c>
      <c r="G25" s="43"/>
      <c r="H25" s="72">
        <f t="shared" si="0"/>
        <v>8610</v>
      </c>
      <c r="I25" s="43">
        <f t="shared" si="1"/>
        <v>20985</v>
      </c>
    </row>
    <row r="26" spans="1:9" s="3" customFormat="1" ht="9">
      <c r="A26" s="38" t="s">
        <v>12</v>
      </c>
      <c r="B26" s="27">
        <v>690</v>
      </c>
      <c r="C26" s="27">
        <v>2180</v>
      </c>
      <c r="D26" s="27"/>
      <c r="E26" s="71">
        <v>0</v>
      </c>
      <c r="F26" s="71">
        <v>0</v>
      </c>
      <c r="G26" s="27"/>
      <c r="H26" s="72">
        <f t="shared" si="0"/>
        <v>690</v>
      </c>
      <c r="I26" s="43">
        <f t="shared" si="1"/>
        <v>2180</v>
      </c>
    </row>
    <row r="27" spans="1:9" s="3" customFormat="1" ht="9">
      <c r="A27" s="38" t="s">
        <v>13</v>
      </c>
      <c r="B27" s="43">
        <v>10360</v>
      </c>
      <c r="C27" s="43">
        <v>25490</v>
      </c>
      <c r="D27" s="43"/>
      <c r="E27" s="70">
        <v>2780</v>
      </c>
      <c r="F27" s="70">
        <v>7284</v>
      </c>
      <c r="G27" s="43"/>
      <c r="H27" s="72">
        <f t="shared" si="0"/>
        <v>13140</v>
      </c>
      <c r="I27" s="43">
        <f t="shared" si="1"/>
        <v>32774</v>
      </c>
    </row>
    <row r="28" spans="1:9" s="3" customFormat="1" ht="9">
      <c r="A28" s="38" t="s">
        <v>14</v>
      </c>
      <c r="B28" s="27">
        <v>750</v>
      </c>
      <c r="C28" s="70">
        <v>2500</v>
      </c>
      <c r="D28" s="27"/>
      <c r="E28" s="70">
        <v>300</v>
      </c>
      <c r="F28" s="70">
        <v>600</v>
      </c>
      <c r="G28" s="27"/>
      <c r="H28" s="72">
        <f t="shared" si="0"/>
        <v>1050</v>
      </c>
      <c r="I28" s="43">
        <f t="shared" si="1"/>
        <v>3100</v>
      </c>
    </row>
    <row r="29" spans="1:9" s="3" customFormat="1" ht="9">
      <c r="A29" s="32" t="s">
        <v>15</v>
      </c>
      <c r="B29" s="48">
        <f aca="true" t="shared" si="2" ref="B29:I29">SUM(B10:B28)-B12</f>
        <v>30525</v>
      </c>
      <c r="C29" s="48">
        <f t="shared" si="2"/>
        <v>81541</v>
      </c>
      <c r="D29" s="82"/>
      <c r="E29" s="83">
        <f t="shared" si="2"/>
        <v>26778</v>
      </c>
      <c r="F29" s="29">
        <f t="shared" si="2"/>
        <v>58844</v>
      </c>
      <c r="G29" s="29"/>
      <c r="H29" s="29">
        <f t="shared" si="2"/>
        <v>57303</v>
      </c>
      <c r="I29" s="48">
        <f t="shared" si="2"/>
        <v>140385</v>
      </c>
    </row>
    <row r="30" spans="1:9" s="3" customFormat="1" ht="9">
      <c r="A30" s="32" t="s">
        <v>54</v>
      </c>
      <c r="B30" s="48">
        <f>SUM(B10:B18)-B12</f>
        <v>2945</v>
      </c>
      <c r="C30" s="48">
        <f>SUM(C10:C18)-C12</f>
        <v>10177</v>
      </c>
      <c r="D30" s="82"/>
      <c r="E30" s="83">
        <f>SUM(E10:E18)-E12</f>
        <v>8878</v>
      </c>
      <c r="F30" s="7">
        <f>SUM(F10:F18)-F12</f>
        <v>20281</v>
      </c>
      <c r="G30" s="7"/>
      <c r="H30" s="7">
        <f>SUM(H10:H18)-H12</f>
        <v>11823</v>
      </c>
      <c r="I30" s="48">
        <f>SUM(I10:I18)-I12</f>
        <v>30458</v>
      </c>
    </row>
    <row r="31" spans="1:9" s="3" customFormat="1" ht="9">
      <c r="A31" s="32" t="s">
        <v>53</v>
      </c>
      <c r="B31" s="48">
        <f>SUM(B19:B22)</f>
        <v>2880</v>
      </c>
      <c r="C31" s="48">
        <f>SUM(C19:C22)</f>
        <v>8695</v>
      </c>
      <c r="D31" s="82"/>
      <c r="E31" s="83">
        <f>SUM(E19:E22)</f>
        <v>6760</v>
      </c>
      <c r="F31" s="7">
        <f>SUM(F19:F22)</f>
        <v>15261</v>
      </c>
      <c r="G31" s="7"/>
      <c r="H31" s="7">
        <f>SUM(H19:H22)</f>
        <v>9640</v>
      </c>
      <c r="I31" s="48">
        <f>SUM(I19:I22)</f>
        <v>23956</v>
      </c>
    </row>
    <row r="32" spans="1:9" s="3" customFormat="1" ht="9">
      <c r="A32" s="32" t="s">
        <v>39</v>
      </c>
      <c r="B32" s="48">
        <f>SUM(B23:B28)</f>
        <v>24700</v>
      </c>
      <c r="C32" s="48">
        <f>SUM(C23:C28)</f>
        <v>62669</v>
      </c>
      <c r="D32" s="82"/>
      <c r="E32" s="83">
        <f>SUM(E23:E28)</f>
        <v>11140</v>
      </c>
      <c r="F32" s="7">
        <f>SUM(F23:F28)</f>
        <v>23302</v>
      </c>
      <c r="G32" s="7"/>
      <c r="H32" s="7">
        <f>SUM(H23:H28)</f>
        <v>35840</v>
      </c>
      <c r="I32" s="48">
        <f>SUM(I23:I28)</f>
        <v>85971</v>
      </c>
    </row>
    <row r="33" spans="1:9" s="3" customFormat="1" ht="9">
      <c r="A33" s="7"/>
      <c r="B33" s="7"/>
      <c r="C33" s="7"/>
      <c r="D33" s="7"/>
      <c r="E33" s="7"/>
      <c r="F33" s="7"/>
      <c r="G33" s="7"/>
      <c r="H33" s="7"/>
      <c r="I33" s="7"/>
    </row>
    <row r="34" spans="1:9" s="3" customFormat="1" ht="9">
      <c r="A34" s="7"/>
      <c r="B34" s="7"/>
      <c r="C34" s="7"/>
      <c r="D34" s="7"/>
      <c r="E34" s="7"/>
      <c r="F34" s="7"/>
      <c r="G34" s="7"/>
      <c r="H34" s="7"/>
      <c r="I34" s="7"/>
    </row>
    <row r="35" spans="1:9" s="3" customFormat="1" ht="12.75" customHeight="1">
      <c r="A35" s="93" t="s">
        <v>26</v>
      </c>
      <c r="B35" s="93"/>
      <c r="C35" s="93"/>
      <c r="D35" s="93"/>
      <c r="E35" s="93"/>
      <c r="F35" s="93"/>
      <c r="G35" s="93"/>
      <c r="H35" s="93"/>
      <c r="I35" s="93"/>
    </row>
    <row r="36" s="3" customFormat="1" ht="9"/>
    <row r="37" spans="1:9" s="3" customFormat="1" ht="9">
      <c r="A37" s="38" t="s">
        <v>2</v>
      </c>
      <c r="B37" s="71">
        <v>0</v>
      </c>
      <c r="C37" s="71">
        <v>0</v>
      </c>
      <c r="D37" s="70"/>
      <c r="E37" s="70">
        <v>100</v>
      </c>
      <c r="F37" s="70">
        <v>120</v>
      </c>
      <c r="G37" s="70"/>
      <c r="H37" s="70">
        <f aca="true" t="shared" si="3" ref="H37:I39">+B37+E37</f>
        <v>100</v>
      </c>
      <c r="I37" s="70">
        <f t="shared" si="3"/>
        <v>120</v>
      </c>
    </row>
    <row r="38" spans="1:9" s="3" customFormat="1" ht="9">
      <c r="A38" s="38" t="s">
        <v>46</v>
      </c>
      <c r="B38" s="70">
        <v>90</v>
      </c>
      <c r="C38" s="70">
        <v>450</v>
      </c>
      <c r="D38" s="70"/>
      <c r="E38" s="71">
        <v>0</v>
      </c>
      <c r="F38" s="71">
        <v>0</v>
      </c>
      <c r="G38" s="70"/>
      <c r="H38" s="70">
        <f t="shared" si="3"/>
        <v>90</v>
      </c>
      <c r="I38" s="70">
        <f t="shared" si="3"/>
        <v>450</v>
      </c>
    </row>
    <row r="39" spans="1:9" s="3" customFormat="1" ht="9">
      <c r="A39" s="38" t="s">
        <v>3</v>
      </c>
      <c r="B39" s="70">
        <v>285</v>
      </c>
      <c r="C39" s="70">
        <v>1119</v>
      </c>
      <c r="D39" s="70"/>
      <c r="E39" s="70">
        <v>300</v>
      </c>
      <c r="F39" s="70">
        <v>761</v>
      </c>
      <c r="G39" s="70"/>
      <c r="H39" s="70">
        <f t="shared" si="3"/>
        <v>585</v>
      </c>
      <c r="I39" s="70">
        <f t="shared" si="3"/>
        <v>1880</v>
      </c>
    </row>
    <row r="40" spans="1:9" s="3" customFormat="1" ht="9">
      <c r="A40" s="37" t="s">
        <v>38</v>
      </c>
      <c r="B40" s="75">
        <f>SUM(B41)</f>
        <v>0</v>
      </c>
      <c r="C40" s="75">
        <f>SUM(C41)</f>
        <v>0</v>
      </c>
      <c r="D40" s="75"/>
      <c r="E40" s="75">
        <f>SUM(E41)</f>
        <v>3</v>
      </c>
      <c r="F40" s="75">
        <f>SUM(F41)</f>
        <v>12</v>
      </c>
      <c r="G40" s="71"/>
      <c r="H40" s="75">
        <f>SUM(H41)</f>
        <v>3</v>
      </c>
      <c r="I40" s="75">
        <f>SUM(I41)</f>
        <v>12</v>
      </c>
    </row>
    <row r="41" spans="1:9" s="3" customFormat="1" ht="9">
      <c r="A41" s="39" t="s">
        <v>19</v>
      </c>
      <c r="B41" s="87">
        <v>0</v>
      </c>
      <c r="C41" s="84">
        <v>0</v>
      </c>
      <c r="D41" s="76"/>
      <c r="E41" s="84">
        <v>3</v>
      </c>
      <c r="F41" s="84">
        <v>12</v>
      </c>
      <c r="G41" s="76"/>
      <c r="H41" s="84">
        <f aca="true" t="shared" si="4" ref="H41:H54">+B41+E41</f>
        <v>3</v>
      </c>
      <c r="I41" s="84">
        <f aca="true" t="shared" si="5" ref="I41:I54">+C41+F41</f>
        <v>12</v>
      </c>
    </row>
    <row r="42" spans="1:9" s="3" customFormat="1" ht="9">
      <c r="A42" s="38" t="s">
        <v>17</v>
      </c>
      <c r="B42" s="70">
        <v>300</v>
      </c>
      <c r="C42" s="70">
        <v>1665</v>
      </c>
      <c r="D42" s="70"/>
      <c r="E42" s="70">
        <v>700</v>
      </c>
      <c r="F42" s="70">
        <v>1600</v>
      </c>
      <c r="G42" s="70"/>
      <c r="H42" s="70">
        <f t="shared" si="4"/>
        <v>1000</v>
      </c>
      <c r="I42" s="70">
        <f t="shared" si="5"/>
        <v>3265</v>
      </c>
    </row>
    <row r="43" spans="1:9" s="3" customFormat="1" ht="9">
      <c r="A43" s="37" t="s">
        <v>41</v>
      </c>
      <c r="B43" s="70">
        <v>45</v>
      </c>
      <c r="C43" s="70">
        <v>111</v>
      </c>
      <c r="D43" s="70"/>
      <c r="E43" s="70">
        <v>50</v>
      </c>
      <c r="F43" s="70">
        <v>360</v>
      </c>
      <c r="G43" s="70"/>
      <c r="H43" s="70">
        <f t="shared" si="4"/>
        <v>95</v>
      </c>
      <c r="I43" s="70">
        <f t="shared" si="5"/>
        <v>471</v>
      </c>
    </row>
    <row r="44" spans="1:9" s="3" customFormat="1" ht="9">
      <c r="A44" s="38" t="s">
        <v>4</v>
      </c>
      <c r="B44" s="70">
        <v>230</v>
      </c>
      <c r="C44" s="70">
        <v>1559</v>
      </c>
      <c r="D44" s="70"/>
      <c r="E44" s="70">
        <v>350</v>
      </c>
      <c r="F44" s="70">
        <v>1820</v>
      </c>
      <c r="G44" s="70"/>
      <c r="H44" s="70">
        <f t="shared" si="4"/>
        <v>580</v>
      </c>
      <c r="I44" s="70">
        <f t="shared" si="5"/>
        <v>3379</v>
      </c>
    </row>
    <row r="45" spans="1:9" s="3" customFormat="1" ht="9">
      <c r="A45" s="38" t="s">
        <v>5</v>
      </c>
      <c r="B45" s="70">
        <v>790</v>
      </c>
      <c r="C45" s="70">
        <v>3640</v>
      </c>
      <c r="D45" s="70"/>
      <c r="E45" s="70">
        <v>1685</v>
      </c>
      <c r="F45" s="70">
        <v>6115</v>
      </c>
      <c r="G45" s="70"/>
      <c r="H45" s="70">
        <f t="shared" si="4"/>
        <v>2475</v>
      </c>
      <c r="I45" s="70">
        <f t="shared" si="5"/>
        <v>9755</v>
      </c>
    </row>
    <row r="46" spans="1:9" s="3" customFormat="1" ht="9">
      <c r="A46" s="38" t="s">
        <v>6</v>
      </c>
      <c r="B46" s="71">
        <v>0</v>
      </c>
      <c r="C46" s="71">
        <v>0</v>
      </c>
      <c r="D46" s="70"/>
      <c r="E46" s="70">
        <v>60</v>
      </c>
      <c r="F46" s="70">
        <v>210</v>
      </c>
      <c r="G46" s="70"/>
      <c r="H46" s="70">
        <f t="shared" si="4"/>
        <v>60</v>
      </c>
      <c r="I46" s="70">
        <f t="shared" si="5"/>
        <v>210</v>
      </c>
    </row>
    <row r="47" spans="1:9" s="3" customFormat="1" ht="9">
      <c r="A47" s="38" t="s">
        <v>7</v>
      </c>
      <c r="B47" s="70">
        <v>110</v>
      </c>
      <c r="C47" s="70">
        <v>51</v>
      </c>
      <c r="D47" s="70"/>
      <c r="E47" s="70">
        <v>190</v>
      </c>
      <c r="F47" s="70">
        <v>86</v>
      </c>
      <c r="G47" s="70"/>
      <c r="H47" s="70">
        <f t="shared" si="4"/>
        <v>300</v>
      </c>
      <c r="I47" s="70">
        <f t="shared" si="5"/>
        <v>137</v>
      </c>
    </row>
    <row r="48" spans="1:9" s="3" customFormat="1" ht="9">
      <c r="A48" s="38" t="s">
        <v>8</v>
      </c>
      <c r="B48" s="70">
        <v>1603</v>
      </c>
      <c r="C48" s="70">
        <v>3555</v>
      </c>
      <c r="D48" s="70"/>
      <c r="E48" s="70">
        <v>1150</v>
      </c>
      <c r="F48" s="70">
        <v>3156</v>
      </c>
      <c r="G48" s="70"/>
      <c r="H48" s="70">
        <f t="shared" si="4"/>
        <v>2753</v>
      </c>
      <c r="I48" s="70">
        <f t="shared" si="5"/>
        <v>6711</v>
      </c>
    </row>
    <row r="49" spans="1:9" s="3" customFormat="1" ht="9">
      <c r="A49" s="38" t="s">
        <v>9</v>
      </c>
      <c r="B49" s="70">
        <v>30</v>
      </c>
      <c r="C49" s="70">
        <v>135</v>
      </c>
      <c r="D49" s="70"/>
      <c r="E49" s="71">
        <v>0</v>
      </c>
      <c r="F49" s="71">
        <v>0</v>
      </c>
      <c r="G49" s="70"/>
      <c r="H49" s="70">
        <f t="shared" si="4"/>
        <v>30</v>
      </c>
      <c r="I49" s="70">
        <f t="shared" si="5"/>
        <v>135</v>
      </c>
    </row>
    <row r="50" spans="1:9" s="3" customFormat="1" ht="9">
      <c r="A50" s="38" t="s">
        <v>10</v>
      </c>
      <c r="B50" s="70">
        <v>3930</v>
      </c>
      <c r="C50" s="70">
        <v>14226</v>
      </c>
      <c r="D50" s="70"/>
      <c r="E50" s="70">
        <v>1000</v>
      </c>
      <c r="F50" s="70">
        <v>3350</v>
      </c>
      <c r="G50" s="70"/>
      <c r="H50" s="70">
        <f t="shared" si="4"/>
        <v>4930</v>
      </c>
      <c r="I50" s="70">
        <f t="shared" si="5"/>
        <v>17576</v>
      </c>
    </row>
    <row r="51" spans="1:9" s="3" customFormat="1" ht="9">
      <c r="A51" s="38" t="s">
        <v>11</v>
      </c>
      <c r="B51" s="70">
        <v>2050</v>
      </c>
      <c r="C51" s="70">
        <v>7250</v>
      </c>
      <c r="D51" s="70"/>
      <c r="E51" s="70">
        <v>85</v>
      </c>
      <c r="F51" s="70">
        <v>350</v>
      </c>
      <c r="G51" s="70"/>
      <c r="H51" s="70">
        <f t="shared" si="4"/>
        <v>2135</v>
      </c>
      <c r="I51" s="70">
        <f t="shared" si="5"/>
        <v>7600</v>
      </c>
    </row>
    <row r="52" spans="1:9" s="3" customFormat="1" ht="9">
      <c r="A52" s="38" t="s">
        <v>12</v>
      </c>
      <c r="B52" s="70">
        <v>20</v>
      </c>
      <c r="C52" s="70">
        <v>100</v>
      </c>
      <c r="D52" s="70"/>
      <c r="E52" s="71">
        <v>0</v>
      </c>
      <c r="F52" s="71">
        <v>0</v>
      </c>
      <c r="G52" s="70"/>
      <c r="H52" s="70">
        <f t="shared" si="4"/>
        <v>20</v>
      </c>
      <c r="I52" s="70">
        <f t="shared" si="5"/>
        <v>100</v>
      </c>
    </row>
    <row r="53" spans="1:9" s="3" customFormat="1" ht="9">
      <c r="A53" s="38" t="s">
        <v>13</v>
      </c>
      <c r="B53" s="70">
        <v>800</v>
      </c>
      <c r="C53" s="70">
        <v>1600</v>
      </c>
      <c r="D53" s="70"/>
      <c r="E53" s="70">
        <v>50</v>
      </c>
      <c r="F53" s="70">
        <v>250</v>
      </c>
      <c r="G53" s="70"/>
      <c r="H53" s="70">
        <f t="shared" si="4"/>
        <v>850</v>
      </c>
      <c r="I53" s="70">
        <f t="shared" si="5"/>
        <v>1850</v>
      </c>
    </row>
    <row r="54" spans="1:9" s="3" customFormat="1" ht="9">
      <c r="A54" s="38" t="s">
        <v>14</v>
      </c>
      <c r="B54" s="70">
        <v>265</v>
      </c>
      <c r="C54" s="70">
        <v>1080</v>
      </c>
      <c r="D54" s="70"/>
      <c r="E54" s="71">
        <v>0</v>
      </c>
      <c r="F54" s="71">
        <v>0</v>
      </c>
      <c r="G54" s="70"/>
      <c r="H54" s="70">
        <f t="shared" si="4"/>
        <v>265</v>
      </c>
      <c r="I54" s="70">
        <f t="shared" si="5"/>
        <v>1080</v>
      </c>
    </row>
    <row r="55" spans="1:9" s="7" customFormat="1" ht="9">
      <c r="A55" s="32" t="s">
        <v>15</v>
      </c>
      <c r="B55" s="7">
        <f>SUM(B37:B54)-B40</f>
        <v>10548</v>
      </c>
      <c r="C55" s="7">
        <f>SUM(C37:C54)-C40</f>
        <v>36541</v>
      </c>
      <c r="E55" s="7">
        <f>SUM(E37:E54)-E40</f>
        <v>5723</v>
      </c>
      <c r="F55" s="7">
        <f>SUM(F37:F54)-F40</f>
        <v>18190</v>
      </c>
      <c r="H55" s="7">
        <f>SUM(H37:H54)-H40</f>
        <v>16271</v>
      </c>
      <c r="I55" s="7">
        <f>SUM(I37:I54)-I40</f>
        <v>54731</v>
      </c>
    </row>
    <row r="56" spans="1:9" s="7" customFormat="1" ht="9">
      <c r="A56" s="32" t="s">
        <v>54</v>
      </c>
      <c r="B56" s="29">
        <f>SUM(B37:B44)-B40</f>
        <v>950</v>
      </c>
      <c r="C56" s="29">
        <f>SUM(C37:C44)-C40</f>
        <v>4904</v>
      </c>
      <c r="D56" s="29"/>
      <c r="E56" s="29">
        <f>SUM(E37:E44)-E40</f>
        <v>1503</v>
      </c>
      <c r="F56" s="29">
        <f>SUM(F37:F44)-F40</f>
        <v>4673</v>
      </c>
      <c r="G56" s="29"/>
      <c r="H56" s="29">
        <f>SUM(H37:H44)-H40</f>
        <v>2453</v>
      </c>
      <c r="I56" s="29">
        <f>SUM(I37:I44)-I40</f>
        <v>9577</v>
      </c>
    </row>
    <row r="57" spans="1:9" s="7" customFormat="1" ht="9">
      <c r="A57" s="32" t="s">
        <v>53</v>
      </c>
      <c r="B57" s="29">
        <f>SUM(B45:B48)</f>
        <v>2503</v>
      </c>
      <c r="C57" s="29">
        <f>SUM(C45:C48)</f>
        <v>7246</v>
      </c>
      <c r="D57" s="29"/>
      <c r="E57" s="29">
        <f>SUM(E45:E48)</f>
        <v>3085</v>
      </c>
      <c r="F57" s="29">
        <f>SUM(F45:F48)</f>
        <v>9567</v>
      </c>
      <c r="G57" s="29"/>
      <c r="H57" s="29">
        <f>SUM(H45:H48)</f>
        <v>5588</v>
      </c>
      <c r="I57" s="29">
        <f>SUM(I45:I48)</f>
        <v>16813</v>
      </c>
    </row>
    <row r="58" spans="1:9" s="7" customFormat="1" ht="9">
      <c r="A58" s="32" t="s">
        <v>39</v>
      </c>
      <c r="B58" s="7">
        <f>SUM(B49:B54)</f>
        <v>7095</v>
      </c>
      <c r="C58" s="7">
        <f>SUM(C49:C54)</f>
        <v>24391</v>
      </c>
      <c r="E58" s="7">
        <f>SUM(E49:E54)</f>
        <v>1135</v>
      </c>
      <c r="F58" s="7">
        <f>SUM(F49:F54)</f>
        <v>3950</v>
      </c>
      <c r="H58" s="7">
        <f>SUM(H49:H54)</f>
        <v>8230</v>
      </c>
      <c r="I58" s="7">
        <f>SUM(I49:I54)</f>
        <v>28341</v>
      </c>
    </row>
    <row r="59" spans="1:9" s="3" customFormat="1" ht="9">
      <c r="A59" s="13"/>
      <c r="B59" s="13"/>
      <c r="C59" s="13"/>
      <c r="D59" s="13"/>
      <c r="E59" s="13"/>
      <c r="F59" s="13"/>
      <c r="G59" s="13"/>
      <c r="H59" s="13"/>
      <c r="I59" s="13"/>
    </row>
    <row r="60" spans="1:9" s="3" customFormat="1" ht="9">
      <c r="A60" s="7"/>
      <c r="B60" s="7"/>
      <c r="C60" s="7"/>
      <c r="D60" s="7"/>
      <c r="E60" s="7"/>
      <c r="F60" s="7"/>
      <c r="G60" s="7"/>
      <c r="H60" s="7"/>
      <c r="I60" s="7"/>
    </row>
    <row r="61" spans="1:9" s="3" customFormat="1" ht="9">
      <c r="A61" s="7"/>
      <c r="B61" s="7"/>
      <c r="C61" s="7"/>
      <c r="D61" s="7"/>
      <c r="E61" s="7"/>
      <c r="F61" s="7"/>
      <c r="G61" s="7"/>
      <c r="H61" s="7"/>
      <c r="I61" s="7"/>
    </row>
    <row r="62" spans="1:9" s="3" customFormat="1" ht="9">
      <c r="A62" s="7"/>
      <c r="D62" s="7"/>
      <c r="E62" s="7"/>
      <c r="F62" s="7"/>
      <c r="G62" s="7"/>
      <c r="H62" s="7"/>
      <c r="I62" s="7"/>
    </row>
    <row r="63" spans="1:9" s="3" customFormat="1" ht="9">
      <c r="A63" s="7"/>
      <c r="B63" s="7"/>
      <c r="C63" s="7"/>
      <c r="D63" s="7"/>
      <c r="E63" s="7"/>
      <c r="F63" s="7"/>
      <c r="G63" s="7"/>
      <c r="H63" s="7"/>
      <c r="I63" s="7"/>
    </row>
    <row r="64" spans="1:9" s="3" customFormat="1" ht="9">
      <c r="A64" s="7"/>
      <c r="B64" s="7"/>
      <c r="C64" s="7"/>
      <c r="D64" s="7"/>
      <c r="E64" s="7"/>
      <c r="F64" s="7"/>
      <c r="G64" s="7"/>
      <c r="H64" s="7"/>
      <c r="I64" s="7"/>
    </row>
    <row r="65" spans="1:9" s="3" customFormat="1" ht="9">
      <c r="A65" s="7"/>
      <c r="B65" s="7"/>
      <c r="C65" s="7"/>
      <c r="D65" s="7"/>
      <c r="E65" s="7"/>
      <c r="F65" s="7"/>
      <c r="G65" s="7"/>
      <c r="H65" s="7"/>
      <c r="I65" s="7"/>
    </row>
    <row r="66" spans="1:9" s="3" customFormat="1" ht="9">
      <c r="A66" s="7"/>
      <c r="B66" s="7"/>
      <c r="C66" s="7"/>
      <c r="D66" s="7"/>
      <c r="E66" s="7"/>
      <c r="F66" s="7"/>
      <c r="G66" s="7"/>
      <c r="H66" s="7"/>
      <c r="I66" s="7"/>
    </row>
    <row r="67" spans="1:9" s="3" customFormat="1" ht="9">
      <c r="A67" s="7"/>
      <c r="B67" s="7"/>
      <c r="C67" s="7"/>
      <c r="D67" s="7"/>
      <c r="E67" s="7"/>
      <c r="F67" s="7"/>
      <c r="G67" s="7"/>
      <c r="H67" s="7"/>
      <c r="I67" s="7"/>
    </row>
    <row r="68" spans="1:9" s="3" customFormat="1" ht="9">
      <c r="A68" s="7"/>
      <c r="B68" s="7"/>
      <c r="C68" s="7"/>
      <c r="D68" s="7"/>
      <c r="E68" s="7"/>
      <c r="F68" s="7"/>
      <c r="G68" s="7"/>
      <c r="H68" s="7"/>
      <c r="I68" s="7"/>
    </row>
    <row r="69" spans="1:9" s="3" customFormat="1" ht="9">
      <c r="A69" s="7"/>
      <c r="B69" s="7"/>
      <c r="C69" s="7"/>
      <c r="D69" s="7"/>
      <c r="E69" s="7"/>
      <c r="F69" s="7"/>
      <c r="G69" s="7"/>
      <c r="H69" s="7"/>
      <c r="I69" s="7"/>
    </row>
    <row r="70" spans="1:9" s="3" customFormat="1" ht="9">
      <c r="A70" s="7"/>
      <c r="B70" s="7"/>
      <c r="C70" s="7"/>
      <c r="D70" s="7"/>
      <c r="E70" s="7"/>
      <c r="F70" s="7"/>
      <c r="G70" s="7"/>
      <c r="H70" s="7"/>
      <c r="I70" s="7"/>
    </row>
    <row r="71" spans="1:9" s="3" customFormat="1" ht="9">
      <c r="A71" s="7"/>
      <c r="B71" s="7"/>
      <c r="C71" s="7"/>
      <c r="D71" s="7"/>
      <c r="E71" s="7"/>
      <c r="F71" s="7"/>
      <c r="G71" s="7"/>
      <c r="H71" s="7"/>
      <c r="I71" s="7"/>
    </row>
    <row r="72" spans="1:9" s="3" customFormat="1" ht="9">
      <c r="A72" s="7"/>
      <c r="B72" s="7"/>
      <c r="C72" s="7"/>
      <c r="D72" s="7"/>
      <c r="E72" s="7"/>
      <c r="F72" s="7"/>
      <c r="G72" s="7"/>
      <c r="H72" s="7"/>
      <c r="I72" s="7"/>
    </row>
    <row r="73" spans="1:9" s="3" customFormat="1" ht="9">
      <c r="A73" s="7"/>
      <c r="B73" s="7"/>
      <c r="C73" s="7"/>
      <c r="D73" s="7"/>
      <c r="E73" s="7"/>
      <c r="F73" s="7"/>
      <c r="G73" s="7"/>
      <c r="H73" s="7"/>
      <c r="I73" s="7"/>
    </row>
    <row r="74" spans="1:9" s="3" customFormat="1" ht="9">
      <c r="A74" s="7"/>
      <c r="B74" s="7"/>
      <c r="C74" s="7"/>
      <c r="D74" s="7"/>
      <c r="E74" s="7"/>
      <c r="F74" s="7"/>
      <c r="G74" s="7"/>
      <c r="H74" s="7"/>
      <c r="I74" s="7"/>
    </row>
    <row r="75" spans="1:9" s="3" customFormat="1" ht="9">
      <c r="A75" s="7"/>
      <c r="B75" s="7"/>
      <c r="C75" s="7"/>
      <c r="D75" s="7"/>
      <c r="E75" s="7"/>
      <c r="F75" s="7"/>
      <c r="G75" s="7"/>
      <c r="H75" s="7"/>
      <c r="I75" s="7"/>
    </row>
  </sheetData>
  <mergeCells count="6">
    <mergeCell ref="A8:I8"/>
    <mergeCell ref="A35:I35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K18" sqref="K18"/>
    </sheetView>
  </sheetViews>
  <sheetFormatPr defaultColWidth="9.140625" defaultRowHeight="12.75"/>
  <cols>
    <col min="1" max="1" width="17.8515625" style="20" customWidth="1"/>
    <col min="2" max="2" width="9.421875" style="20" bestFit="1" customWidth="1"/>
    <col min="3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 customHeight="1">
      <c r="A7" s="6"/>
      <c r="B7" s="5"/>
      <c r="C7" s="5"/>
      <c r="D7" s="5"/>
      <c r="E7" s="5"/>
      <c r="F7" s="5"/>
      <c r="G7" s="5"/>
      <c r="H7" s="5"/>
      <c r="I7" s="5"/>
    </row>
    <row r="8" spans="1:9" s="3" customFormat="1" ht="10.5" customHeight="1">
      <c r="A8" s="93" t="s">
        <v>24</v>
      </c>
      <c r="B8" s="93"/>
      <c r="C8" s="93"/>
      <c r="D8" s="93"/>
      <c r="E8" s="93"/>
      <c r="F8" s="93"/>
      <c r="G8" s="93"/>
      <c r="H8" s="93"/>
      <c r="I8" s="93"/>
    </row>
    <row r="9" s="3" customFormat="1" ht="9.75" customHeight="1"/>
    <row r="10" spans="1:9" s="3" customFormat="1" ht="9">
      <c r="A10" s="38" t="s">
        <v>3</v>
      </c>
      <c r="B10" s="70">
        <v>91</v>
      </c>
      <c r="C10" s="70">
        <v>313</v>
      </c>
      <c r="D10" s="70"/>
      <c r="E10" s="70">
        <v>50</v>
      </c>
      <c r="F10" s="70">
        <v>200</v>
      </c>
      <c r="G10" s="27"/>
      <c r="H10" s="72">
        <f>+B10+E10</f>
        <v>141</v>
      </c>
      <c r="I10" s="72">
        <f>+C10+F10</f>
        <v>513</v>
      </c>
    </row>
    <row r="11" spans="1:9" s="3" customFormat="1" ht="9">
      <c r="A11" s="38" t="s">
        <v>49</v>
      </c>
      <c r="B11" s="70">
        <f>SUM(B12)</f>
        <v>1</v>
      </c>
      <c r="C11" s="70">
        <f>SUM(C12)</f>
        <v>2</v>
      </c>
      <c r="D11" s="70"/>
      <c r="E11" s="70">
        <f>SUM(E12)</f>
        <v>0</v>
      </c>
      <c r="F11" s="70">
        <f>SUM(F12)</f>
        <v>0</v>
      </c>
      <c r="G11" s="27"/>
      <c r="H11" s="72">
        <f aca="true" t="shared" si="0" ref="H11:H26">+B11+E11</f>
        <v>1</v>
      </c>
      <c r="I11" s="72">
        <f aca="true" t="shared" si="1" ref="I11:I26">+C11+F11</f>
        <v>2</v>
      </c>
    </row>
    <row r="12" spans="1:9" s="10" customFormat="1" ht="9">
      <c r="A12" s="39" t="s">
        <v>19</v>
      </c>
      <c r="B12" s="77">
        <v>1</v>
      </c>
      <c r="C12" s="77">
        <v>2</v>
      </c>
      <c r="D12" s="77"/>
      <c r="E12" s="77">
        <v>0</v>
      </c>
      <c r="F12" s="77">
        <v>0</v>
      </c>
      <c r="G12" s="44"/>
      <c r="H12" s="78">
        <f t="shared" si="0"/>
        <v>1</v>
      </c>
      <c r="I12" s="78">
        <f t="shared" si="1"/>
        <v>2</v>
      </c>
    </row>
    <row r="13" spans="1:9" s="3" customFormat="1" ht="9">
      <c r="A13" s="38" t="s">
        <v>17</v>
      </c>
      <c r="B13" s="70">
        <v>800</v>
      </c>
      <c r="C13" s="70">
        <v>4309</v>
      </c>
      <c r="D13" s="70"/>
      <c r="E13" s="70">
        <v>0</v>
      </c>
      <c r="F13" s="70">
        <v>0</v>
      </c>
      <c r="G13" s="27"/>
      <c r="H13" s="72">
        <f t="shared" si="0"/>
        <v>800</v>
      </c>
      <c r="I13" s="72">
        <f t="shared" si="1"/>
        <v>4309</v>
      </c>
    </row>
    <row r="14" spans="1:9" s="3" customFormat="1" ht="9">
      <c r="A14" s="38" t="s">
        <v>48</v>
      </c>
      <c r="B14" s="70">
        <v>128</v>
      </c>
      <c r="C14" s="70">
        <v>452</v>
      </c>
      <c r="D14" s="70"/>
      <c r="E14" s="70">
        <v>0</v>
      </c>
      <c r="F14" s="70">
        <v>0</v>
      </c>
      <c r="G14" s="27"/>
      <c r="H14" s="72">
        <f t="shared" si="0"/>
        <v>128</v>
      </c>
      <c r="I14" s="72">
        <f t="shared" si="1"/>
        <v>452</v>
      </c>
    </row>
    <row r="15" spans="1:9" s="3" customFormat="1" ht="9">
      <c r="A15" s="38" t="s">
        <v>4</v>
      </c>
      <c r="B15" s="70">
        <v>1580</v>
      </c>
      <c r="C15" s="70">
        <v>14420</v>
      </c>
      <c r="D15" s="70"/>
      <c r="E15" s="70">
        <v>0</v>
      </c>
      <c r="F15" s="70">
        <v>0</v>
      </c>
      <c r="G15" s="27"/>
      <c r="H15" s="72">
        <f t="shared" si="0"/>
        <v>1580</v>
      </c>
      <c r="I15" s="72">
        <f t="shared" si="1"/>
        <v>14420</v>
      </c>
    </row>
    <row r="16" spans="1:9" s="3" customFormat="1" ht="9">
      <c r="A16" s="38" t="s">
        <v>44</v>
      </c>
      <c r="B16" s="70">
        <v>25</v>
      </c>
      <c r="C16" s="70">
        <v>361</v>
      </c>
      <c r="D16" s="70"/>
      <c r="E16" s="70">
        <v>0</v>
      </c>
      <c r="F16" s="70">
        <v>0</v>
      </c>
      <c r="G16" s="27"/>
      <c r="H16" s="72">
        <f t="shared" si="0"/>
        <v>25</v>
      </c>
      <c r="I16" s="72">
        <f t="shared" si="1"/>
        <v>361</v>
      </c>
    </row>
    <row r="17" spans="1:9" s="3" customFormat="1" ht="9">
      <c r="A17" s="38" t="s">
        <v>5</v>
      </c>
      <c r="B17" s="70">
        <v>2745</v>
      </c>
      <c r="C17" s="70">
        <v>29470</v>
      </c>
      <c r="D17" s="70"/>
      <c r="E17" s="70">
        <v>400</v>
      </c>
      <c r="F17" s="70">
        <v>1800</v>
      </c>
      <c r="G17" s="27"/>
      <c r="H17" s="72">
        <f t="shared" si="0"/>
        <v>3145</v>
      </c>
      <c r="I17" s="72">
        <f t="shared" si="1"/>
        <v>31270</v>
      </c>
    </row>
    <row r="18" spans="1:9" s="3" customFormat="1" ht="9">
      <c r="A18" s="38" t="s">
        <v>6</v>
      </c>
      <c r="B18" s="70">
        <v>50</v>
      </c>
      <c r="C18" s="70">
        <v>125</v>
      </c>
      <c r="D18" s="70"/>
      <c r="E18" s="70"/>
      <c r="F18" s="70"/>
      <c r="G18" s="27"/>
      <c r="H18" s="72">
        <f t="shared" si="0"/>
        <v>50</v>
      </c>
      <c r="I18" s="72">
        <f t="shared" si="1"/>
        <v>125</v>
      </c>
    </row>
    <row r="19" spans="1:9" s="3" customFormat="1" ht="9">
      <c r="A19" s="38" t="s">
        <v>7</v>
      </c>
      <c r="B19" s="70">
        <v>121</v>
      </c>
      <c r="C19" s="70">
        <v>198</v>
      </c>
      <c r="D19" s="70"/>
      <c r="E19" s="71">
        <v>50</v>
      </c>
      <c r="F19" s="71">
        <v>85</v>
      </c>
      <c r="G19" s="27"/>
      <c r="H19" s="72">
        <f t="shared" si="0"/>
        <v>171</v>
      </c>
      <c r="I19" s="72">
        <f t="shared" si="1"/>
        <v>283</v>
      </c>
    </row>
    <row r="20" spans="1:9" s="3" customFormat="1" ht="9">
      <c r="A20" s="38" t="s">
        <v>8</v>
      </c>
      <c r="B20" s="70">
        <v>5704</v>
      </c>
      <c r="C20" s="70">
        <v>76475</v>
      </c>
      <c r="D20" s="70"/>
      <c r="E20" s="70">
        <v>0</v>
      </c>
      <c r="F20" s="70">
        <v>0</v>
      </c>
      <c r="G20" s="27"/>
      <c r="H20" s="72">
        <f t="shared" si="0"/>
        <v>5704</v>
      </c>
      <c r="I20" s="72">
        <f t="shared" si="1"/>
        <v>76475</v>
      </c>
    </row>
    <row r="21" spans="1:9" s="3" customFormat="1" ht="9">
      <c r="A21" s="38" t="s">
        <v>9</v>
      </c>
      <c r="B21" s="70">
        <v>560</v>
      </c>
      <c r="C21" s="70">
        <v>5640</v>
      </c>
      <c r="D21" s="70"/>
      <c r="E21" s="70">
        <v>0</v>
      </c>
      <c r="F21" s="71">
        <v>0</v>
      </c>
      <c r="G21" s="27"/>
      <c r="H21" s="72">
        <f t="shared" si="0"/>
        <v>560</v>
      </c>
      <c r="I21" s="72">
        <f t="shared" si="1"/>
        <v>5640</v>
      </c>
    </row>
    <row r="22" spans="1:9" s="3" customFormat="1" ht="9">
      <c r="A22" s="38" t="s">
        <v>10</v>
      </c>
      <c r="B22" s="70">
        <v>6385</v>
      </c>
      <c r="C22" s="70">
        <v>98575</v>
      </c>
      <c r="D22" s="70"/>
      <c r="E22" s="70">
        <v>0</v>
      </c>
      <c r="F22" s="70">
        <v>0</v>
      </c>
      <c r="G22" s="27"/>
      <c r="H22" s="72">
        <f t="shared" si="0"/>
        <v>6385</v>
      </c>
      <c r="I22" s="72">
        <f t="shared" si="1"/>
        <v>98575</v>
      </c>
    </row>
    <row r="23" spans="1:9" s="3" customFormat="1" ht="9">
      <c r="A23" s="38" t="s">
        <v>11</v>
      </c>
      <c r="B23" s="70">
        <v>6830</v>
      </c>
      <c r="C23" s="70">
        <v>83080</v>
      </c>
      <c r="D23" s="70"/>
      <c r="E23" s="71">
        <v>20</v>
      </c>
      <c r="F23" s="71">
        <v>200</v>
      </c>
      <c r="G23" s="27"/>
      <c r="H23" s="72">
        <f t="shared" si="0"/>
        <v>6850</v>
      </c>
      <c r="I23" s="72">
        <f t="shared" si="1"/>
        <v>83280</v>
      </c>
    </row>
    <row r="24" spans="1:9" s="3" customFormat="1" ht="9">
      <c r="A24" s="38" t="s">
        <v>12</v>
      </c>
      <c r="B24" s="70">
        <v>210</v>
      </c>
      <c r="C24" s="70">
        <v>2150</v>
      </c>
      <c r="D24" s="70"/>
      <c r="E24" s="70">
        <v>0</v>
      </c>
      <c r="F24" s="70">
        <v>0</v>
      </c>
      <c r="G24" s="27"/>
      <c r="H24" s="72">
        <f t="shared" si="0"/>
        <v>210</v>
      </c>
      <c r="I24" s="72">
        <f t="shared" si="1"/>
        <v>2150</v>
      </c>
    </row>
    <row r="25" spans="1:9" s="3" customFormat="1" ht="9">
      <c r="A25" s="38" t="s">
        <v>13</v>
      </c>
      <c r="B25" s="70">
        <v>9610</v>
      </c>
      <c r="C25" s="70">
        <v>102050</v>
      </c>
      <c r="D25" s="70"/>
      <c r="E25" s="70">
        <v>350</v>
      </c>
      <c r="F25" s="70">
        <v>2620</v>
      </c>
      <c r="G25" s="43"/>
      <c r="H25" s="72">
        <f t="shared" si="0"/>
        <v>9960</v>
      </c>
      <c r="I25" s="72">
        <f t="shared" si="1"/>
        <v>104670</v>
      </c>
    </row>
    <row r="26" spans="1:9" s="3" customFormat="1" ht="9">
      <c r="A26" s="38" t="s">
        <v>14</v>
      </c>
      <c r="B26" s="70">
        <v>1100</v>
      </c>
      <c r="C26" s="70">
        <v>10300</v>
      </c>
      <c r="D26" s="70"/>
      <c r="E26" s="70">
        <v>500</v>
      </c>
      <c r="F26" s="70">
        <v>5000</v>
      </c>
      <c r="G26" s="27"/>
      <c r="H26" s="72">
        <f t="shared" si="0"/>
        <v>1600</v>
      </c>
      <c r="I26" s="72">
        <f t="shared" si="1"/>
        <v>15300</v>
      </c>
    </row>
    <row r="27" spans="1:9" s="3" customFormat="1" ht="9">
      <c r="A27" s="32" t="s">
        <v>15</v>
      </c>
      <c r="B27" s="9">
        <f>SUM(B10:B26)-B11</f>
        <v>35940</v>
      </c>
      <c r="C27" s="9">
        <f>SUM(C10:C26)-C11</f>
        <v>427920</v>
      </c>
      <c r="D27" s="48"/>
      <c r="E27" s="9">
        <f>SUM(E10:E26)-E11</f>
        <v>1370</v>
      </c>
      <c r="F27" s="9">
        <f>SUM(F10:F26)-F11</f>
        <v>9905</v>
      </c>
      <c r="G27" s="48"/>
      <c r="H27" s="9">
        <f>SUM(H10:H26)-H11</f>
        <v>37310</v>
      </c>
      <c r="I27" s="9">
        <f>SUM(I10:I26)-I11</f>
        <v>437825</v>
      </c>
    </row>
    <row r="28" spans="1:9" s="3" customFormat="1" ht="9">
      <c r="A28" s="32" t="s">
        <v>54</v>
      </c>
      <c r="B28" s="9">
        <f>SUM(B10:B16)-B11</f>
        <v>2625</v>
      </c>
      <c r="C28" s="9">
        <f>SUM(C10:C16)-C11</f>
        <v>19857</v>
      </c>
      <c r="D28" s="9"/>
      <c r="E28" s="9">
        <f>SUM(E10:E16)-E11</f>
        <v>50</v>
      </c>
      <c r="F28" s="9">
        <f>SUM(F10:F16)-F11</f>
        <v>200</v>
      </c>
      <c r="G28" s="9"/>
      <c r="H28" s="9">
        <f>SUM(H10:H16)-H11</f>
        <v>2675</v>
      </c>
      <c r="I28" s="9">
        <f>SUM(I10:I16)-I11</f>
        <v>20057</v>
      </c>
    </row>
    <row r="29" spans="1:9" s="3" customFormat="1" ht="9">
      <c r="A29" s="32" t="s">
        <v>53</v>
      </c>
      <c r="B29" s="7">
        <f>SUM(B17:B20)</f>
        <v>8620</v>
      </c>
      <c r="C29" s="7">
        <f>SUM(C17:C20)</f>
        <v>106268</v>
      </c>
      <c r="D29" s="7"/>
      <c r="E29" s="7">
        <f>SUM(E17:E20)</f>
        <v>450</v>
      </c>
      <c r="F29" s="7">
        <f>SUM(F17:F20)</f>
        <v>1885</v>
      </c>
      <c r="G29" s="7"/>
      <c r="H29" s="7">
        <f>SUM(H17:H20)</f>
        <v>9070</v>
      </c>
      <c r="I29" s="7">
        <f>SUM(I17:I20)</f>
        <v>108153</v>
      </c>
    </row>
    <row r="30" spans="1:9" s="3" customFormat="1" ht="9">
      <c r="A30" s="32" t="s">
        <v>39</v>
      </c>
      <c r="B30" s="7">
        <f>SUM(B21:B26)</f>
        <v>24695</v>
      </c>
      <c r="C30" s="7">
        <f>SUM(C21:C26)</f>
        <v>301795</v>
      </c>
      <c r="D30" s="7"/>
      <c r="E30" s="7">
        <f>SUM(E21:E26)</f>
        <v>870</v>
      </c>
      <c r="F30" s="7">
        <f>SUM(F21:F26)</f>
        <v>7820</v>
      </c>
      <c r="G30" s="7"/>
      <c r="H30" s="7">
        <f>SUM(H21:H26)</f>
        <v>25565</v>
      </c>
      <c r="I30" s="7">
        <f>SUM(I21:I26)</f>
        <v>309615</v>
      </c>
    </row>
    <row r="31" spans="1:9" s="3" customFormat="1" ht="9">
      <c r="A31" s="32"/>
      <c r="B31" s="7"/>
      <c r="C31" s="7"/>
      <c r="D31" s="7"/>
      <c r="E31" s="7"/>
      <c r="F31" s="7"/>
      <c r="G31" s="7"/>
      <c r="H31" s="7"/>
      <c r="I31" s="7"/>
    </row>
    <row r="32" spans="1:9" s="3" customFormat="1" ht="13.5" customHeight="1">
      <c r="A32" s="93" t="s">
        <v>32</v>
      </c>
      <c r="B32" s="93"/>
      <c r="C32" s="93"/>
      <c r="D32" s="93"/>
      <c r="E32" s="93"/>
      <c r="F32" s="93"/>
      <c r="G32" s="93"/>
      <c r="H32" s="93"/>
      <c r="I32" s="93"/>
    </row>
    <row r="33" s="3" customFormat="1" ht="9.75" customHeight="1"/>
    <row r="34" spans="1:9" s="3" customFormat="1" ht="9">
      <c r="A34" s="38" t="s">
        <v>2</v>
      </c>
      <c r="B34" s="27">
        <v>400</v>
      </c>
      <c r="C34" s="27">
        <v>600</v>
      </c>
      <c r="D34" s="27"/>
      <c r="E34" s="69">
        <v>0</v>
      </c>
      <c r="F34" s="69">
        <v>0</v>
      </c>
      <c r="G34" s="27"/>
      <c r="H34" s="72">
        <f aca="true" t="shared" si="2" ref="H34:H50">+B34+E34</f>
        <v>400</v>
      </c>
      <c r="I34" s="72">
        <f aca="true" t="shared" si="3" ref="I34:I50">+C34+F34</f>
        <v>600</v>
      </c>
    </row>
    <row r="35" spans="1:9" s="3" customFormat="1" ht="9">
      <c r="A35" s="38" t="s">
        <v>46</v>
      </c>
      <c r="B35" s="69">
        <v>0</v>
      </c>
      <c r="C35" s="69">
        <v>0</v>
      </c>
      <c r="D35" s="27"/>
      <c r="E35" s="46">
        <v>40</v>
      </c>
      <c r="F35" s="46">
        <v>128</v>
      </c>
      <c r="G35" s="27"/>
      <c r="H35" s="72">
        <f t="shared" si="2"/>
        <v>40</v>
      </c>
      <c r="I35" s="72">
        <f t="shared" si="3"/>
        <v>128</v>
      </c>
    </row>
    <row r="36" spans="1:9" s="3" customFormat="1" ht="9">
      <c r="A36" s="38" t="s">
        <v>3</v>
      </c>
      <c r="B36" s="43">
        <v>690</v>
      </c>
      <c r="C36" s="43">
        <v>2326</v>
      </c>
      <c r="D36" s="43"/>
      <c r="E36" s="27">
        <v>545</v>
      </c>
      <c r="F36" s="43">
        <v>1368</v>
      </c>
      <c r="G36" s="43"/>
      <c r="H36" s="72">
        <f t="shared" si="2"/>
        <v>1235</v>
      </c>
      <c r="I36" s="72">
        <f t="shared" si="3"/>
        <v>3694</v>
      </c>
    </row>
    <row r="37" spans="1:9" s="3" customFormat="1" ht="9">
      <c r="A37" s="38" t="s">
        <v>49</v>
      </c>
      <c r="B37" s="27">
        <f>SUM(B38)</f>
        <v>4</v>
      </c>
      <c r="C37" s="27">
        <f>SUM(C38)</f>
        <v>10</v>
      </c>
      <c r="D37" s="27"/>
      <c r="E37" s="27">
        <f>SUM(E38)</f>
        <v>3</v>
      </c>
      <c r="F37" s="27">
        <f>SUM(F38)</f>
        <v>6</v>
      </c>
      <c r="G37" s="27"/>
      <c r="H37" s="72">
        <f>SUM(H38)</f>
        <v>7</v>
      </c>
      <c r="I37" s="72">
        <f>SUM(I38)</f>
        <v>16</v>
      </c>
    </row>
    <row r="38" spans="1:9" s="3" customFormat="1" ht="9">
      <c r="A38" s="39" t="s">
        <v>19</v>
      </c>
      <c r="B38" s="44">
        <v>4</v>
      </c>
      <c r="C38" s="44">
        <v>10</v>
      </c>
      <c r="D38" s="44"/>
      <c r="E38" s="44">
        <v>3</v>
      </c>
      <c r="F38" s="44">
        <v>6</v>
      </c>
      <c r="G38" s="44"/>
      <c r="H38" s="78">
        <f t="shared" si="2"/>
        <v>7</v>
      </c>
      <c r="I38" s="78">
        <f t="shared" si="3"/>
        <v>16</v>
      </c>
    </row>
    <row r="39" spans="1:9" s="3" customFormat="1" ht="9">
      <c r="A39" s="38" t="s">
        <v>17</v>
      </c>
      <c r="B39" s="27">
        <v>470</v>
      </c>
      <c r="C39" s="43">
        <v>1642</v>
      </c>
      <c r="D39" s="43"/>
      <c r="E39" s="27">
        <v>380</v>
      </c>
      <c r="F39" s="27">
        <v>1053</v>
      </c>
      <c r="G39" s="27"/>
      <c r="H39" s="72">
        <f t="shared" si="2"/>
        <v>850</v>
      </c>
      <c r="I39" s="72">
        <f t="shared" si="3"/>
        <v>2695</v>
      </c>
    </row>
    <row r="40" spans="1:9" s="3" customFormat="1" ht="9">
      <c r="A40" s="38" t="s">
        <v>48</v>
      </c>
      <c r="B40" s="27">
        <v>213</v>
      </c>
      <c r="C40" s="27">
        <v>487</v>
      </c>
      <c r="D40" s="27"/>
      <c r="E40" s="69">
        <v>0</v>
      </c>
      <c r="F40" s="69">
        <v>0</v>
      </c>
      <c r="G40" s="27"/>
      <c r="H40" s="72">
        <f t="shared" si="2"/>
        <v>213</v>
      </c>
      <c r="I40" s="72">
        <f t="shared" si="3"/>
        <v>487</v>
      </c>
    </row>
    <row r="41" spans="1:9" s="3" customFormat="1" ht="9">
      <c r="A41" s="38" t="s">
        <v>4</v>
      </c>
      <c r="B41" s="43">
        <v>1300</v>
      </c>
      <c r="C41" s="43">
        <v>4771</v>
      </c>
      <c r="D41" s="43"/>
      <c r="E41" s="27">
        <v>260</v>
      </c>
      <c r="F41" s="43">
        <v>910</v>
      </c>
      <c r="G41" s="43"/>
      <c r="H41" s="72">
        <f t="shared" si="2"/>
        <v>1560</v>
      </c>
      <c r="I41" s="72">
        <f t="shared" si="3"/>
        <v>5681</v>
      </c>
    </row>
    <row r="42" spans="1:9" s="3" customFormat="1" ht="9">
      <c r="A42" s="38" t="s">
        <v>44</v>
      </c>
      <c r="B42" s="27">
        <v>166</v>
      </c>
      <c r="C42" s="27">
        <v>584</v>
      </c>
      <c r="D42" s="27"/>
      <c r="E42" s="27">
        <v>350</v>
      </c>
      <c r="F42" s="27">
        <v>455</v>
      </c>
      <c r="G42" s="27"/>
      <c r="H42" s="72">
        <f t="shared" si="2"/>
        <v>516</v>
      </c>
      <c r="I42" s="72">
        <f t="shared" si="3"/>
        <v>1039</v>
      </c>
    </row>
    <row r="43" spans="1:9" s="3" customFormat="1" ht="9">
      <c r="A43" s="38" t="s">
        <v>5</v>
      </c>
      <c r="B43" s="43">
        <v>2840</v>
      </c>
      <c r="C43" s="43">
        <v>11200</v>
      </c>
      <c r="D43" s="43"/>
      <c r="E43" s="27">
        <v>3170</v>
      </c>
      <c r="F43" s="27">
        <v>11439</v>
      </c>
      <c r="G43" s="27"/>
      <c r="H43" s="72">
        <f t="shared" si="2"/>
        <v>6010</v>
      </c>
      <c r="I43" s="72">
        <f t="shared" si="3"/>
        <v>22639</v>
      </c>
    </row>
    <row r="44" spans="1:9" s="3" customFormat="1" ht="9">
      <c r="A44" s="38" t="s">
        <v>7</v>
      </c>
      <c r="B44" s="27">
        <v>30</v>
      </c>
      <c r="C44" s="27">
        <v>120</v>
      </c>
      <c r="D44" s="27"/>
      <c r="E44" s="27">
        <v>150</v>
      </c>
      <c r="F44" s="27">
        <v>311</v>
      </c>
      <c r="G44" s="27"/>
      <c r="H44" s="72">
        <f t="shared" si="2"/>
        <v>180</v>
      </c>
      <c r="I44" s="72">
        <f t="shared" si="3"/>
        <v>431</v>
      </c>
    </row>
    <row r="45" spans="1:9" s="3" customFormat="1" ht="9">
      <c r="A45" s="38" t="s">
        <v>8</v>
      </c>
      <c r="B45" s="43">
        <v>7300</v>
      </c>
      <c r="C45" s="43">
        <v>22700</v>
      </c>
      <c r="D45" s="43"/>
      <c r="E45" s="27">
        <v>350</v>
      </c>
      <c r="F45" s="43">
        <v>1127</v>
      </c>
      <c r="G45" s="43"/>
      <c r="H45" s="72">
        <f t="shared" si="2"/>
        <v>7650</v>
      </c>
      <c r="I45" s="72">
        <f t="shared" si="3"/>
        <v>23827</v>
      </c>
    </row>
    <row r="46" spans="1:9" s="3" customFormat="1" ht="9">
      <c r="A46" s="38" t="s">
        <v>10</v>
      </c>
      <c r="B46" s="43">
        <v>38200</v>
      </c>
      <c r="C46" s="43">
        <v>85935</v>
      </c>
      <c r="D46" s="43"/>
      <c r="E46" s="43">
        <v>9250</v>
      </c>
      <c r="F46" s="43">
        <v>18500</v>
      </c>
      <c r="G46" s="43"/>
      <c r="H46" s="72">
        <f t="shared" si="2"/>
        <v>47450</v>
      </c>
      <c r="I46" s="72">
        <f t="shared" si="3"/>
        <v>104435</v>
      </c>
    </row>
    <row r="47" spans="1:9" s="3" customFormat="1" ht="9">
      <c r="A47" s="38" t="s">
        <v>11</v>
      </c>
      <c r="B47" s="43">
        <v>4600</v>
      </c>
      <c r="C47" s="43">
        <v>12915</v>
      </c>
      <c r="D47" s="43"/>
      <c r="E47" s="27">
        <v>150</v>
      </c>
      <c r="F47" s="27">
        <v>400</v>
      </c>
      <c r="G47" s="27"/>
      <c r="H47" s="72">
        <f t="shared" si="2"/>
        <v>4750</v>
      </c>
      <c r="I47" s="72">
        <f t="shared" si="3"/>
        <v>13315</v>
      </c>
    </row>
    <row r="48" spans="1:9" s="3" customFormat="1" ht="9">
      <c r="A48" s="38" t="s">
        <v>12</v>
      </c>
      <c r="B48" s="43">
        <v>400</v>
      </c>
      <c r="C48" s="43">
        <v>1100</v>
      </c>
      <c r="D48" s="43"/>
      <c r="E48" s="69">
        <v>0</v>
      </c>
      <c r="F48" s="69">
        <v>0</v>
      </c>
      <c r="G48" s="27"/>
      <c r="H48" s="72">
        <f t="shared" si="2"/>
        <v>400</v>
      </c>
      <c r="I48" s="72">
        <f t="shared" si="3"/>
        <v>1100</v>
      </c>
    </row>
    <row r="49" spans="1:9" s="3" customFormat="1" ht="9">
      <c r="A49" s="38" t="s">
        <v>13</v>
      </c>
      <c r="B49" s="43">
        <v>1200</v>
      </c>
      <c r="C49" s="43">
        <v>5320</v>
      </c>
      <c r="D49" s="43"/>
      <c r="E49" s="27">
        <v>600</v>
      </c>
      <c r="F49" s="27">
        <v>2075</v>
      </c>
      <c r="G49" s="27"/>
      <c r="H49" s="72">
        <f t="shared" si="2"/>
        <v>1800</v>
      </c>
      <c r="I49" s="72">
        <f t="shared" si="3"/>
        <v>7395</v>
      </c>
    </row>
    <row r="50" spans="1:9" s="3" customFormat="1" ht="9">
      <c r="A50" s="38" t="s">
        <v>14</v>
      </c>
      <c r="B50" s="27">
        <v>320</v>
      </c>
      <c r="C50" s="27">
        <v>1180</v>
      </c>
      <c r="D50" s="27"/>
      <c r="E50" s="69">
        <v>0</v>
      </c>
      <c r="F50" s="69">
        <v>0</v>
      </c>
      <c r="G50" s="27"/>
      <c r="H50" s="72">
        <f t="shared" si="2"/>
        <v>320</v>
      </c>
      <c r="I50" s="72">
        <f t="shared" si="3"/>
        <v>1180</v>
      </c>
    </row>
    <row r="51" spans="1:9" s="3" customFormat="1" ht="9">
      <c r="A51" s="32" t="s">
        <v>15</v>
      </c>
      <c r="B51" s="29">
        <f>SUM(B34:B50)-B37</f>
        <v>58133</v>
      </c>
      <c r="C51" s="29">
        <f>SUM(C34:C50)-C37</f>
        <v>150890</v>
      </c>
      <c r="D51" s="29"/>
      <c r="E51" s="29">
        <f>SUM(E34:E50)-E37</f>
        <v>15248</v>
      </c>
      <c r="F51" s="29">
        <f>SUM(F34:F50)-F37</f>
        <v>37772</v>
      </c>
      <c r="G51" s="29"/>
      <c r="H51" s="29">
        <f>SUM(H34:H50)-H37</f>
        <v>73381</v>
      </c>
      <c r="I51" s="29">
        <f>SUM(I34:I50)-I37</f>
        <v>188662</v>
      </c>
    </row>
    <row r="52" spans="1:9" s="3" customFormat="1" ht="9">
      <c r="A52" s="32" t="s">
        <v>54</v>
      </c>
      <c r="B52" s="7">
        <f>SUM(B34:B42)-B37</f>
        <v>3243</v>
      </c>
      <c r="C52" s="7">
        <f>SUM(C34:C42)-C37</f>
        <v>10420</v>
      </c>
      <c r="D52" s="7"/>
      <c r="E52" s="7">
        <f>SUM(E34:E42)-E37</f>
        <v>1578</v>
      </c>
      <c r="F52" s="7">
        <f>SUM(F34:F42)-F37</f>
        <v>3920</v>
      </c>
      <c r="G52" s="7"/>
      <c r="H52" s="7">
        <f>SUM(H34:H42)-H37</f>
        <v>4821</v>
      </c>
      <c r="I52" s="7">
        <f>SUM(I34:I42)-I37</f>
        <v>14340</v>
      </c>
    </row>
    <row r="53" spans="1:9" s="3" customFormat="1" ht="9">
      <c r="A53" s="32" t="s">
        <v>53</v>
      </c>
      <c r="B53" s="7">
        <f>SUM(B43:B45)</f>
        <v>10170</v>
      </c>
      <c r="C53" s="7">
        <f>SUM(C43:C45)</f>
        <v>34020</v>
      </c>
      <c r="D53" s="7"/>
      <c r="E53" s="7">
        <f>SUM(E43:E45)</f>
        <v>3670</v>
      </c>
      <c r="F53" s="7">
        <f>SUM(F43:F45)</f>
        <v>12877</v>
      </c>
      <c r="G53" s="7"/>
      <c r="H53" s="7">
        <f>SUM(H43:H45)</f>
        <v>13840</v>
      </c>
      <c r="I53" s="7">
        <f>SUM(I43:I45)</f>
        <v>46897</v>
      </c>
    </row>
    <row r="54" spans="1:9" s="3" customFormat="1" ht="9">
      <c r="A54" s="32" t="s">
        <v>39</v>
      </c>
      <c r="B54" s="7">
        <f>SUM(B46:B50)</f>
        <v>44720</v>
      </c>
      <c r="C54" s="7">
        <f>SUM(C46:C50)</f>
        <v>106450</v>
      </c>
      <c r="D54" s="7"/>
      <c r="E54" s="7">
        <f>SUM(E46:E50)</f>
        <v>10000</v>
      </c>
      <c r="F54" s="7">
        <f>SUM(F46:F50)</f>
        <v>20975</v>
      </c>
      <c r="G54" s="7"/>
      <c r="H54" s="7">
        <f>SUM(H46:H50)</f>
        <v>54720</v>
      </c>
      <c r="I54" s="7">
        <f>SUM(I46:I50)</f>
        <v>127425</v>
      </c>
    </row>
    <row r="55" spans="1:9" s="3" customFormat="1" ht="9">
      <c r="A55" s="13"/>
      <c r="B55" s="13"/>
      <c r="C55" s="13"/>
      <c r="D55" s="13"/>
      <c r="E55" s="13"/>
      <c r="F55" s="13"/>
      <c r="G55" s="13"/>
      <c r="H55" s="13"/>
      <c r="I55" s="13"/>
    </row>
  </sheetData>
  <mergeCells count="6">
    <mergeCell ref="A8:I8"/>
    <mergeCell ref="A32:I32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K19" sqref="K19"/>
    </sheetView>
  </sheetViews>
  <sheetFormatPr defaultColWidth="9.140625" defaultRowHeight="12.75"/>
  <cols>
    <col min="1" max="1" width="17.8515625" style="20" customWidth="1"/>
    <col min="2" max="2" width="10.421875" style="20" bestFit="1" customWidth="1"/>
    <col min="3" max="3" width="9.00390625" style="20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ht="9" customHeight="1"/>
    <row r="9" spans="1:9" ht="12" customHeight="1">
      <c r="A9" s="93" t="s">
        <v>65</v>
      </c>
      <c r="B9" s="93"/>
      <c r="C9" s="93"/>
      <c r="D9" s="93"/>
      <c r="E9" s="93"/>
      <c r="F9" s="93"/>
      <c r="G9" s="93"/>
      <c r="H9" s="93"/>
      <c r="I9" s="93"/>
    </row>
    <row r="10" spans="1:9" s="3" customFormat="1" ht="9" customHeight="1">
      <c r="A10" s="6"/>
      <c r="B10" s="5"/>
      <c r="C10" s="5"/>
      <c r="D10" s="5"/>
      <c r="E10" s="5"/>
      <c r="F10" s="5"/>
      <c r="G10" s="5"/>
      <c r="H10" s="5"/>
      <c r="I10" s="5"/>
    </row>
    <row r="11" spans="1:9" s="3" customFormat="1" ht="9">
      <c r="A11" s="38" t="s">
        <v>3</v>
      </c>
      <c r="B11" s="70">
        <v>220</v>
      </c>
      <c r="C11" s="43">
        <v>2770</v>
      </c>
      <c r="D11" s="43"/>
      <c r="E11" s="27">
        <v>50</v>
      </c>
      <c r="F11" s="27">
        <v>500</v>
      </c>
      <c r="G11" s="27"/>
      <c r="H11" s="72">
        <f>+B11+E11</f>
        <v>270</v>
      </c>
      <c r="I11" s="43">
        <f>+C11+F11</f>
        <v>3270</v>
      </c>
    </row>
    <row r="12" spans="1:9" s="3" customFormat="1" ht="9">
      <c r="A12" s="38" t="s">
        <v>17</v>
      </c>
      <c r="B12" s="70">
        <v>200</v>
      </c>
      <c r="C12" s="43">
        <v>2000</v>
      </c>
      <c r="D12" s="43"/>
      <c r="E12" s="3">
        <v>0</v>
      </c>
      <c r="F12" s="3">
        <v>0</v>
      </c>
      <c r="G12" s="27"/>
      <c r="H12" s="72">
        <f aca="true" t="shared" si="0" ref="H12:H24">+B12+E12</f>
        <v>200</v>
      </c>
      <c r="I12" s="43">
        <f aca="true" t="shared" si="1" ref="I12:I24">+C12+F12</f>
        <v>2000</v>
      </c>
    </row>
    <row r="13" spans="1:9" s="3" customFormat="1" ht="9">
      <c r="A13" s="37" t="s">
        <v>40</v>
      </c>
      <c r="B13" s="70">
        <v>25</v>
      </c>
      <c r="C13" s="27">
        <v>301</v>
      </c>
      <c r="D13" s="27"/>
      <c r="E13" s="3">
        <v>0</v>
      </c>
      <c r="F13" s="3">
        <v>0</v>
      </c>
      <c r="G13" s="27"/>
      <c r="H13" s="72">
        <f t="shared" si="0"/>
        <v>25</v>
      </c>
      <c r="I13" s="43">
        <f t="shared" si="1"/>
        <v>301</v>
      </c>
    </row>
    <row r="14" spans="1:9" s="3" customFormat="1" ht="9">
      <c r="A14" s="38" t="s">
        <v>4</v>
      </c>
      <c r="B14" s="70">
        <v>300</v>
      </c>
      <c r="C14" s="43">
        <v>4050</v>
      </c>
      <c r="D14" s="43"/>
      <c r="E14" s="27">
        <v>100</v>
      </c>
      <c r="F14" s="43">
        <v>1200</v>
      </c>
      <c r="G14" s="43"/>
      <c r="H14" s="72">
        <f t="shared" si="0"/>
        <v>400</v>
      </c>
      <c r="I14" s="43">
        <f t="shared" si="1"/>
        <v>5250</v>
      </c>
    </row>
    <row r="15" spans="1:9" s="3" customFormat="1" ht="9">
      <c r="A15" s="38" t="s">
        <v>5</v>
      </c>
      <c r="B15" s="70">
        <v>2010</v>
      </c>
      <c r="C15" s="27">
        <v>28606</v>
      </c>
      <c r="D15" s="27"/>
      <c r="E15" s="27">
        <v>895</v>
      </c>
      <c r="F15" s="27">
        <v>17055</v>
      </c>
      <c r="G15" s="27"/>
      <c r="H15" s="72">
        <f t="shared" si="0"/>
        <v>2905</v>
      </c>
      <c r="I15" s="43">
        <f t="shared" si="1"/>
        <v>45661</v>
      </c>
    </row>
    <row r="16" spans="1:9" s="3" customFormat="1" ht="9">
      <c r="A16" s="38" t="s">
        <v>6</v>
      </c>
      <c r="B16" s="3">
        <v>0</v>
      </c>
      <c r="C16" s="3">
        <v>0</v>
      </c>
      <c r="D16" s="27"/>
      <c r="E16" s="43">
        <v>1000</v>
      </c>
      <c r="F16" s="43">
        <v>13600</v>
      </c>
      <c r="G16" s="43"/>
      <c r="H16" s="72">
        <f t="shared" si="0"/>
        <v>1000</v>
      </c>
      <c r="I16" s="43">
        <f t="shared" si="1"/>
        <v>13600</v>
      </c>
    </row>
    <row r="17" spans="1:9" s="3" customFormat="1" ht="9">
      <c r="A17" s="38" t="s">
        <v>7</v>
      </c>
      <c r="B17" s="71">
        <v>176</v>
      </c>
      <c r="C17" s="43">
        <v>1459</v>
      </c>
      <c r="D17" s="43"/>
      <c r="E17" s="27">
        <v>90</v>
      </c>
      <c r="F17" s="27">
        <v>758</v>
      </c>
      <c r="G17" s="27"/>
      <c r="H17" s="72">
        <f t="shared" si="0"/>
        <v>266</v>
      </c>
      <c r="I17" s="43">
        <f t="shared" si="1"/>
        <v>2217</v>
      </c>
    </row>
    <row r="18" spans="1:9" s="3" customFormat="1" ht="9">
      <c r="A18" s="38" t="s">
        <v>8</v>
      </c>
      <c r="B18" s="70">
        <v>3020</v>
      </c>
      <c r="C18" s="43">
        <v>72154</v>
      </c>
      <c r="D18" s="43"/>
      <c r="E18" s="27">
        <v>50</v>
      </c>
      <c r="F18" s="43">
        <v>1020</v>
      </c>
      <c r="G18" s="43"/>
      <c r="H18" s="72">
        <f t="shared" si="0"/>
        <v>3070</v>
      </c>
      <c r="I18" s="43">
        <f t="shared" si="1"/>
        <v>73174</v>
      </c>
    </row>
    <row r="19" spans="1:9" s="3" customFormat="1" ht="9">
      <c r="A19" s="38" t="s">
        <v>9</v>
      </c>
      <c r="B19" s="70">
        <v>780</v>
      </c>
      <c r="C19" s="43">
        <v>11280</v>
      </c>
      <c r="D19" s="43"/>
      <c r="E19" s="27">
        <v>200</v>
      </c>
      <c r="F19" s="43">
        <v>2560</v>
      </c>
      <c r="G19" s="43"/>
      <c r="H19" s="72">
        <f t="shared" si="0"/>
        <v>980</v>
      </c>
      <c r="I19" s="43">
        <f t="shared" si="1"/>
        <v>13840</v>
      </c>
    </row>
    <row r="20" spans="1:9" s="3" customFormat="1" ht="9">
      <c r="A20" s="38" t="s">
        <v>10</v>
      </c>
      <c r="B20" s="70">
        <v>4100</v>
      </c>
      <c r="C20" s="43">
        <v>50700</v>
      </c>
      <c r="D20" s="43"/>
      <c r="E20" s="43">
        <v>500</v>
      </c>
      <c r="F20" s="43">
        <v>4000</v>
      </c>
      <c r="G20" s="43"/>
      <c r="H20" s="72">
        <f t="shared" si="0"/>
        <v>4600</v>
      </c>
      <c r="I20" s="43">
        <f t="shared" si="1"/>
        <v>54700</v>
      </c>
    </row>
    <row r="21" spans="1:9" s="3" customFormat="1" ht="9">
      <c r="A21" s="38" t="s">
        <v>11</v>
      </c>
      <c r="B21" s="70">
        <v>1310</v>
      </c>
      <c r="C21" s="43">
        <v>18015</v>
      </c>
      <c r="D21" s="43"/>
      <c r="E21" s="43">
        <v>50</v>
      </c>
      <c r="F21" s="43">
        <v>780</v>
      </c>
      <c r="G21" s="43"/>
      <c r="H21" s="72">
        <f t="shared" si="0"/>
        <v>1360</v>
      </c>
      <c r="I21" s="43">
        <f t="shared" si="1"/>
        <v>18795</v>
      </c>
    </row>
    <row r="22" spans="1:9" s="3" customFormat="1" ht="9">
      <c r="A22" s="38" t="s">
        <v>12</v>
      </c>
      <c r="B22" s="70">
        <v>50</v>
      </c>
      <c r="C22" s="43">
        <v>660</v>
      </c>
      <c r="D22" s="43"/>
      <c r="E22" s="3">
        <v>0</v>
      </c>
      <c r="F22" s="3">
        <v>0</v>
      </c>
      <c r="G22" s="43"/>
      <c r="H22" s="72">
        <f t="shared" si="0"/>
        <v>50</v>
      </c>
      <c r="I22" s="43">
        <f t="shared" si="1"/>
        <v>660</v>
      </c>
    </row>
    <row r="23" spans="1:9" s="3" customFormat="1" ht="9">
      <c r="A23" s="38" t="s">
        <v>13</v>
      </c>
      <c r="B23" s="70">
        <v>800</v>
      </c>
      <c r="C23" s="43">
        <v>12000</v>
      </c>
      <c r="D23" s="43"/>
      <c r="E23" s="27">
        <v>800</v>
      </c>
      <c r="F23" s="43">
        <v>9500</v>
      </c>
      <c r="G23" s="43"/>
      <c r="H23" s="72">
        <f t="shared" si="0"/>
        <v>1600</v>
      </c>
      <c r="I23" s="43">
        <f t="shared" si="1"/>
        <v>21500</v>
      </c>
    </row>
    <row r="24" spans="1:15" ht="9" customHeight="1">
      <c r="A24" s="38" t="s">
        <v>14</v>
      </c>
      <c r="B24" s="70">
        <v>210</v>
      </c>
      <c r="C24" s="43">
        <v>2800</v>
      </c>
      <c r="D24" s="43"/>
      <c r="E24" s="3">
        <v>0</v>
      </c>
      <c r="F24" s="3">
        <v>0</v>
      </c>
      <c r="G24" s="27"/>
      <c r="H24" s="72">
        <f t="shared" si="0"/>
        <v>210</v>
      </c>
      <c r="I24" s="43">
        <f t="shared" si="1"/>
        <v>2800</v>
      </c>
      <c r="J24" s="7"/>
      <c r="K24" s="7"/>
      <c r="L24" s="7"/>
      <c r="M24" s="7"/>
      <c r="N24" s="7"/>
      <c r="O24" s="7"/>
    </row>
    <row r="25" spans="1:15" ht="9" customHeight="1">
      <c r="A25" s="32" t="s">
        <v>15</v>
      </c>
      <c r="B25" s="29">
        <f>SUM(B11:B24)</f>
        <v>13201</v>
      </c>
      <c r="C25" s="29">
        <f>SUM(C11:C24)</f>
        <v>206795</v>
      </c>
      <c r="D25" s="29"/>
      <c r="E25" s="29">
        <f>SUM(E11:E24)</f>
        <v>3735</v>
      </c>
      <c r="F25" s="29">
        <f>SUM(F11:F24)</f>
        <v>50973</v>
      </c>
      <c r="G25" s="29"/>
      <c r="H25" s="29">
        <f>SUM(H11:H24)</f>
        <v>16936</v>
      </c>
      <c r="I25" s="48">
        <f>SUM(I11:I24)</f>
        <v>257768</v>
      </c>
      <c r="J25" s="7"/>
      <c r="K25" s="7"/>
      <c r="L25" s="7"/>
      <c r="M25" s="7"/>
      <c r="N25" s="7"/>
      <c r="O25" s="7"/>
    </row>
    <row r="26" spans="1:15" ht="9" customHeight="1">
      <c r="A26" s="32" t="s">
        <v>54</v>
      </c>
      <c r="B26" s="29">
        <f>SUM(B11:B14)</f>
        <v>745</v>
      </c>
      <c r="C26" s="29">
        <f>SUM(C11:C14)</f>
        <v>9121</v>
      </c>
      <c r="D26" s="29"/>
      <c r="E26" s="29">
        <f>SUM(E11:E14)</f>
        <v>150</v>
      </c>
      <c r="F26" s="29">
        <f>SUM(F11:F14)</f>
        <v>1700</v>
      </c>
      <c r="G26" s="29"/>
      <c r="H26" s="29">
        <f>SUM(H11:H14)</f>
        <v>895</v>
      </c>
      <c r="I26" s="48">
        <f>SUM(I11:I14)</f>
        <v>10821</v>
      </c>
      <c r="J26" s="7"/>
      <c r="K26" s="7"/>
      <c r="L26" s="7"/>
      <c r="M26" s="7"/>
      <c r="N26" s="7"/>
      <c r="O26" s="7"/>
    </row>
    <row r="27" spans="1:15" ht="9" customHeight="1">
      <c r="A27" s="32" t="s">
        <v>53</v>
      </c>
      <c r="B27" s="29">
        <f>SUM(B15:B19)</f>
        <v>5986</v>
      </c>
      <c r="C27" s="29">
        <f>SUM(C15:C19)</f>
        <v>113499</v>
      </c>
      <c r="D27" s="29"/>
      <c r="E27" s="29">
        <f>SUM(E15:E19)</f>
        <v>2235</v>
      </c>
      <c r="F27" s="29">
        <f>SUM(F15:F19)</f>
        <v>34993</v>
      </c>
      <c r="G27" s="29"/>
      <c r="H27" s="29">
        <f>SUM(H15:H19)</f>
        <v>8221</v>
      </c>
      <c r="I27" s="48">
        <f>SUM(I15:I19)</f>
        <v>148492</v>
      </c>
      <c r="J27" s="7"/>
      <c r="K27" s="7"/>
      <c r="L27" s="7"/>
      <c r="M27" s="7"/>
      <c r="N27" s="7"/>
      <c r="O27" s="7"/>
    </row>
    <row r="28" spans="1:15" ht="9" customHeight="1">
      <c r="A28" s="32" t="s">
        <v>39</v>
      </c>
      <c r="B28" s="7">
        <f>SUM(B20:B24)</f>
        <v>6470</v>
      </c>
      <c r="C28" s="7">
        <f>SUM(C20:C24)</f>
        <v>84175</v>
      </c>
      <c r="D28" s="7"/>
      <c r="E28" s="7">
        <f>SUM(E20:E24)</f>
        <v>1350</v>
      </c>
      <c r="F28" s="7">
        <f>SUM(F20:F24)</f>
        <v>14280</v>
      </c>
      <c r="G28" s="7"/>
      <c r="H28" s="7">
        <f>SUM(H20:H24)</f>
        <v>7820</v>
      </c>
      <c r="I28" s="48">
        <f>SUM(I20:I24)</f>
        <v>98455</v>
      </c>
      <c r="J28" s="7"/>
      <c r="K28" s="7"/>
      <c r="L28" s="7"/>
      <c r="M28" s="7"/>
      <c r="N28" s="7"/>
      <c r="O28" s="7"/>
    </row>
    <row r="29" spans="1:9" ht="9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s="12" customFormat="1" ht="12" customHeight="1">
      <c r="A30" s="93" t="s">
        <v>66</v>
      </c>
      <c r="B30" s="93"/>
      <c r="C30" s="93"/>
      <c r="D30" s="93"/>
      <c r="E30" s="93"/>
      <c r="F30" s="93"/>
      <c r="G30" s="93"/>
      <c r="H30" s="93"/>
      <c r="I30" s="93"/>
    </row>
    <row r="31" s="12" customFormat="1" ht="9" customHeight="1"/>
    <row r="32" spans="1:9" s="12" customFormat="1" ht="9" customHeight="1">
      <c r="A32" s="52" t="s">
        <v>2</v>
      </c>
      <c r="B32" s="70">
        <v>50</v>
      </c>
      <c r="C32" s="3">
        <v>300</v>
      </c>
      <c r="D32" s="3"/>
      <c r="E32" s="71">
        <v>0</v>
      </c>
      <c r="F32" s="69">
        <v>0</v>
      </c>
      <c r="G32" s="3"/>
      <c r="H32" s="3">
        <f>+B32+E32</f>
        <v>50</v>
      </c>
      <c r="I32" s="3">
        <f>+C32+F32</f>
        <v>300</v>
      </c>
    </row>
    <row r="33" spans="1:9" s="12" customFormat="1" ht="9" customHeight="1">
      <c r="A33" s="38" t="s">
        <v>3</v>
      </c>
      <c r="B33" s="71">
        <v>110</v>
      </c>
      <c r="C33" s="2">
        <v>1385</v>
      </c>
      <c r="D33" s="2"/>
      <c r="E33" s="71">
        <v>0</v>
      </c>
      <c r="F33" s="69">
        <v>0</v>
      </c>
      <c r="G33" s="2"/>
      <c r="H33" s="3">
        <f aca="true" t="shared" si="2" ref="H33:H45">+B33+E33</f>
        <v>110</v>
      </c>
      <c r="I33" s="3">
        <f aca="true" t="shared" si="3" ref="I33:I45">+C33+F33</f>
        <v>1385</v>
      </c>
    </row>
    <row r="34" spans="1:9" s="12" customFormat="1" ht="9" customHeight="1">
      <c r="A34" s="38" t="s">
        <v>17</v>
      </c>
      <c r="B34" s="71">
        <v>0</v>
      </c>
      <c r="C34" s="69">
        <v>0</v>
      </c>
      <c r="D34" s="27"/>
      <c r="E34" s="27">
        <v>20</v>
      </c>
      <c r="F34" s="27">
        <v>50</v>
      </c>
      <c r="G34" s="27"/>
      <c r="H34" s="3">
        <f t="shared" si="2"/>
        <v>20</v>
      </c>
      <c r="I34" s="3">
        <f t="shared" si="3"/>
        <v>50</v>
      </c>
    </row>
    <row r="35" spans="1:9" s="12" customFormat="1" ht="9" customHeight="1">
      <c r="A35" s="37" t="s">
        <v>40</v>
      </c>
      <c r="B35" s="71">
        <v>0</v>
      </c>
      <c r="C35" s="69">
        <v>0</v>
      </c>
      <c r="D35" s="27"/>
      <c r="E35" s="27">
        <v>100</v>
      </c>
      <c r="F35" s="43">
        <v>1750</v>
      </c>
      <c r="G35" s="43"/>
      <c r="H35" s="3">
        <f t="shared" si="2"/>
        <v>100</v>
      </c>
      <c r="I35" s="3">
        <f t="shared" si="3"/>
        <v>1750</v>
      </c>
    </row>
    <row r="36" spans="1:9" s="12" customFormat="1" ht="9" customHeight="1">
      <c r="A36" s="38" t="s">
        <v>4</v>
      </c>
      <c r="B36" s="70">
        <v>400</v>
      </c>
      <c r="C36" s="43">
        <v>7200</v>
      </c>
      <c r="D36" s="43"/>
      <c r="E36" s="71">
        <v>0</v>
      </c>
      <c r="F36" s="69">
        <v>0</v>
      </c>
      <c r="G36" s="27"/>
      <c r="H36" s="3">
        <f t="shared" si="2"/>
        <v>400</v>
      </c>
      <c r="I36" s="3">
        <f t="shared" si="3"/>
        <v>7200</v>
      </c>
    </row>
    <row r="37" spans="1:9" s="12" customFormat="1" ht="9" customHeight="1">
      <c r="A37" s="38" t="s">
        <v>44</v>
      </c>
      <c r="B37" s="70">
        <v>260</v>
      </c>
      <c r="C37" s="43">
        <v>3800</v>
      </c>
      <c r="D37" s="43"/>
      <c r="E37" s="71">
        <v>0</v>
      </c>
      <c r="F37" s="69">
        <v>0</v>
      </c>
      <c r="G37" s="27"/>
      <c r="H37" s="3">
        <f t="shared" si="2"/>
        <v>260</v>
      </c>
      <c r="I37" s="3">
        <f t="shared" si="3"/>
        <v>3800</v>
      </c>
    </row>
    <row r="38" spans="1:9" s="12" customFormat="1" ht="9" customHeight="1">
      <c r="A38" s="38" t="s">
        <v>5</v>
      </c>
      <c r="B38" s="70">
        <v>2885</v>
      </c>
      <c r="C38" s="43">
        <v>54675</v>
      </c>
      <c r="D38" s="27"/>
      <c r="E38" s="27">
        <v>1290</v>
      </c>
      <c r="F38" s="27">
        <v>24015</v>
      </c>
      <c r="G38" s="27"/>
      <c r="H38" s="3">
        <f t="shared" si="2"/>
        <v>4175</v>
      </c>
      <c r="I38" s="3">
        <f t="shared" si="3"/>
        <v>78690</v>
      </c>
    </row>
    <row r="39" spans="1:9" s="12" customFormat="1" ht="9" customHeight="1">
      <c r="A39" s="38" t="s">
        <v>6</v>
      </c>
      <c r="B39" s="70">
        <v>800</v>
      </c>
      <c r="C39" s="43">
        <v>12000</v>
      </c>
      <c r="D39" s="43"/>
      <c r="E39" s="27">
        <v>60</v>
      </c>
      <c r="F39" s="27">
        <v>770</v>
      </c>
      <c r="G39" s="27"/>
      <c r="H39" s="3">
        <f t="shared" si="2"/>
        <v>860</v>
      </c>
      <c r="I39" s="3">
        <f t="shared" si="3"/>
        <v>12770</v>
      </c>
    </row>
    <row r="40" spans="1:10" s="12" customFormat="1" ht="9" customHeight="1">
      <c r="A40" s="38" t="s">
        <v>7</v>
      </c>
      <c r="B40" s="70">
        <v>120</v>
      </c>
      <c r="C40" s="27">
        <v>144</v>
      </c>
      <c r="D40" s="27"/>
      <c r="E40" s="71">
        <v>0</v>
      </c>
      <c r="F40" s="69">
        <v>0</v>
      </c>
      <c r="G40" s="27"/>
      <c r="H40" s="3">
        <f t="shared" si="2"/>
        <v>120</v>
      </c>
      <c r="I40" s="3">
        <f t="shared" si="3"/>
        <v>144</v>
      </c>
      <c r="J40" s="73"/>
    </row>
    <row r="41" spans="1:10" s="12" customFormat="1" ht="9" customHeight="1">
      <c r="A41" s="38" t="s">
        <v>8</v>
      </c>
      <c r="B41" s="70">
        <v>630</v>
      </c>
      <c r="C41" s="43">
        <v>14897</v>
      </c>
      <c r="D41" s="43"/>
      <c r="E41" s="71">
        <v>0</v>
      </c>
      <c r="F41" s="69">
        <v>0</v>
      </c>
      <c r="G41" s="27"/>
      <c r="H41" s="3">
        <f t="shared" si="2"/>
        <v>630</v>
      </c>
      <c r="I41" s="3">
        <f t="shared" si="3"/>
        <v>14897</v>
      </c>
      <c r="J41" s="73"/>
    </row>
    <row r="42" spans="1:10" s="12" customFormat="1" ht="9" customHeight="1">
      <c r="A42" s="38" t="s">
        <v>10</v>
      </c>
      <c r="B42" s="70">
        <v>730</v>
      </c>
      <c r="C42" s="43">
        <v>9360</v>
      </c>
      <c r="D42" s="43"/>
      <c r="E42" s="27">
        <v>100</v>
      </c>
      <c r="F42" s="43">
        <v>800</v>
      </c>
      <c r="G42" s="43"/>
      <c r="H42" s="3">
        <f t="shared" si="2"/>
        <v>830</v>
      </c>
      <c r="I42" s="3">
        <f t="shared" si="3"/>
        <v>10160</v>
      </c>
      <c r="J42" s="73"/>
    </row>
    <row r="43" spans="1:9" s="12" customFormat="1" ht="9" customHeight="1">
      <c r="A43" s="38" t="s">
        <v>11</v>
      </c>
      <c r="B43" s="70">
        <v>320</v>
      </c>
      <c r="C43" s="43">
        <v>3375</v>
      </c>
      <c r="D43" s="43"/>
      <c r="E43" s="71">
        <v>0</v>
      </c>
      <c r="F43" s="69">
        <v>0</v>
      </c>
      <c r="G43" s="27"/>
      <c r="H43" s="3">
        <f t="shared" si="2"/>
        <v>320</v>
      </c>
      <c r="I43" s="3">
        <f t="shared" si="3"/>
        <v>3375</v>
      </c>
    </row>
    <row r="44" spans="1:9" s="12" customFormat="1" ht="9" customHeight="1">
      <c r="A44" s="38" t="s">
        <v>12</v>
      </c>
      <c r="B44" s="70">
        <v>5</v>
      </c>
      <c r="C44" s="43">
        <v>20</v>
      </c>
      <c r="D44" s="43"/>
      <c r="E44" s="71">
        <v>0</v>
      </c>
      <c r="F44" s="69">
        <v>0</v>
      </c>
      <c r="G44" s="27"/>
      <c r="H44" s="3">
        <f t="shared" si="2"/>
        <v>5</v>
      </c>
      <c r="I44" s="3">
        <f t="shared" si="3"/>
        <v>20</v>
      </c>
    </row>
    <row r="45" spans="1:9" s="10" customFormat="1" ht="9">
      <c r="A45" s="38" t="s">
        <v>13</v>
      </c>
      <c r="B45" s="70">
        <v>100</v>
      </c>
      <c r="C45" s="43">
        <v>2000</v>
      </c>
      <c r="D45" s="43"/>
      <c r="E45" s="27">
        <v>600</v>
      </c>
      <c r="F45" s="43">
        <v>11200</v>
      </c>
      <c r="G45" s="43"/>
      <c r="H45" s="3">
        <f t="shared" si="2"/>
        <v>700</v>
      </c>
      <c r="I45" s="3">
        <f t="shared" si="3"/>
        <v>13200</v>
      </c>
    </row>
    <row r="46" spans="1:9" s="10" customFormat="1" ht="9">
      <c r="A46" s="32" t="s">
        <v>15</v>
      </c>
      <c r="B46" s="29">
        <f>SUM(B32:B45)</f>
        <v>6410</v>
      </c>
      <c r="C46" s="48">
        <f>SUM(C32:C45)</f>
        <v>109156</v>
      </c>
      <c r="D46" s="29"/>
      <c r="E46" s="82">
        <f>SUM(E32:E45)</f>
        <v>2170</v>
      </c>
      <c r="F46" s="48">
        <f>SUM(F32:F45)</f>
        <v>38585</v>
      </c>
      <c r="G46" s="29"/>
      <c r="H46" s="29">
        <f>SUM(H32:H45)</f>
        <v>8580</v>
      </c>
      <c r="I46" s="29">
        <f>SUM(I32:I45)</f>
        <v>147741</v>
      </c>
    </row>
    <row r="47" spans="1:9" s="10" customFormat="1" ht="9">
      <c r="A47" s="32" t="s">
        <v>54</v>
      </c>
      <c r="B47" s="7">
        <f>SUM(B32:B37)</f>
        <v>820</v>
      </c>
      <c r="C47" s="48">
        <f>SUM(C32:C37)</f>
        <v>12685</v>
      </c>
      <c r="D47" s="7"/>
      <c r="E47" s="82">
        <f>SUM(E32:E37)</f>
        <v>120</v>
      </c>
      <c r="F47" s="48">
        <f>SUM(F32:F37)</f>
        <v>1800</v>
      </c>
      <c r="G47" s="7"/>
      <c r="H47" s="7">
        <f>SUM(H32:H37)</f>
        <v>940</v>
      </c>
      <c r="I47" s="7">
        <f>SUM(I32:I37)</f>
        <v>14485</v>
      </c>
    </row>
    <row r="48" spans="1:9" s="10" customFormat="1" ht="9">
      <c r="A48" s="32" t="s">
        <v>53</v>
      </c>
      <c r="B48" s="7">
        <f>SUM(B38:B41)</f>
        <v>4435</v>
      </c>
      <c r="C48" s="48">
        <f>SUM(C38:C41)</f>
        <v>81716</v>
      </c>
      <c r="D48" s="7"/>
      <c r="E48" s="82">
        <f>SUM(E38:E41)</f>
        <v>1350</v>
      </c>
      <c r="F48" s="48">
        <f>SUM(F38:F41)</f>
        <v>24785</v>
      </c>
      <c r="G48" s="7"/>
      <c r="H48" s="7">
        <f>SUM(H38:H41)</f>
        <v>5785</v>
      </c>
      <c r="I48" s="7">
        <f>SUM(I38:I41)</f>
        <v>106501</v>
      </c>
    </row>
    <row r="49" spans="1:9" s="10" customFormat="1" ht="9">
      <c r="A49" s="32" t="s">
        <v>39</v>
      </c>
      <c r="B49" s="7">
        <f>SUM(B42:B45)</f>
        <v>1155</v>
      </c>
      <c r="C49" s="48">
        <f>SUM(C42:C45)</f>
        <v>14755</v>
      </c>
      <c r="D49" s="7"/>
      <c r="E49" s="82">
        <f>SUM(E42:E45)</f>
        <v>700</v>
      </c>
      <c r="F49" s="48">
        <f>SUM(F42:F45)</f>
        <v>12000</v>
      </c>
      <c r="G49" s="7"/>
      <c r="H49" s="7">
        <f>SUM(H42:H45)</f>
        <v>1855</v>
      </c>
      <c r="I49" s="7">
        <f>SUM(I42:I45)</f>
        <v>26755</v>
      </c>
    </row>
    <row r="50" spans="1:9" s="10" customFormat="1" ht="9">
      <c r="A50" s="15"/>
      <c r="B50" s="15"/>
      <c r="C50" s="15"/>
      <c r="D50" s="15"/>
      <c r="E50" s="15"/>
      <c r="F50" s="15"/>
      <c r="G50" s="15"/>
      <c r="H50" s="15"/>
      <c r="I50" s="15"/>
    </row>
  </sheetData>
  <mergeCells count="6">
    <mergeCell ref="A9:I9"/>
    <mergeCell ref="A30:I30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7">
      <selection activeCell="A32" sqref="A32:I32"/>
    </sheetView>
  </sheetViews>
  <sheetFormatPr defaultColWidth="9.140625" defaultRowHeight="12.75"/>
  <cols>
    <col min="1" max="1" width="17.8515625" style="20" customWidth="1"/>
    <col min="2" max="2" width="9.00390625" style="20" customWidth="1"/>
    <col min="3" max="3" width="9.421875" style="20" bestFit="1" customWidth="1"/>
    <col min="4" max="4" width="2.140625" style="20" customWidth="1"/>
    <col min="5" max="6" width="9.00390625" style="20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9" s="3" customFormat="1" ht="9">
      <c r="A7" s="6"/>
      <c r="B7" s="5"/>
      <c r="C7" s="5"/>
      <c r="D7" s="5"/>
      <c r="E7" s="5"/>
      <c r="F7" s="5"/>
      <c r="G7" s="5"/>
      <c r="H7" s="5"/>
      <c r="I7" s="5"/>
    </row>
    <row r="8" ht="9" customHeight="1"/>
    <row r="9" spans="1:9" ht="12" customHeight="1">
      <c r="A9" s="93" t="s">
        <v>23</v>
      </c>
      <c r="B9" s="93"/>
      <c r="C9" s="93"/>
      <c r="D9" s="93"/>
      <c r="E9" s="93"/>
      <c r="F9" s="93"/>
      <c r="G9" s="93"/>
      <c r="H9" s="93"/>
      <c r="I9" s="93"/>
    </row>
    <row r="10" spans="1:9" s="3" customFormat="1" ht="9" customHeight="1">
      <c r="A10" s="6"/>
      <c r="B10" s="5"/>
      <c r="C10" s="5"/>
      <c r="D10" s="5"/>
      <c r="E10" s="5"/>
      <c r="F10" s="5"/>
      <c r="G10" s="5"/>
      <c r="H10" s="5"/>
      <c r="I10" s="5"/>
    </row>
    <row r="11" spans="1:9" s="3" customFormat="1" ht="9">
      <c r="A11" s="38" t="s">
        <v>2</v>
      </c>
      <c r="B11" s="2">
        <v>50</v>
      </c>
      <c r="C11" s="2">
        <v>300</v>
      </c>
      <c r="D11" s="2"/>
      <c r="E11" s="28">
        <v>0</v>
      </c>
      <c r="F11" s="28">
        <v>0</v>
      </c>
      <c r="G11" s="2"/>
      <c r="H11" s="2">
        <f>B11+E11</f>
        <v>50</v>
      </c>
      <c r="I11" s="2">
        <f>C11+F11</f>
        <v>300</v>
      </c>
    </row>
    <row r="12" spans="1:9" s="3" customFormat="1" ht="9">
      <c r="A12" s="38" t="s">
        <v>3</v>
      </c>
      <c r="B12" s="2">
        <f>110+220+220</f>
        <v>550</v>
      </c>
      <c r="C12" s="2">
        <f>1385+2770+2770</f>
        <v>6925</v>
      </c>
      <c r="D12" s="2"/>
      <c r="E12" s="2">
        <f>50+50</f>
        <v>100</v>
      </c>
      <c r="F12" s="2">
        <f>500+500</f>
        <v>1000</v>
      </c>
      <c r="G12" s="2"/>
      <c r="H12" s="2">
        <f aca="true" t="shared" si="0" ref="H12:H26">B12+E12</f>
        <v>650</v>
      </c>
      <c r="I12" s="2">
        <f aca="true" t="shared" si="1" ref="I12:I26">C12+F12</f>
        <v>7925</v>
      </c>
    </row>
    <row r="13" spans="1:9" s="3" customFormat="1" ht="9">
      <c r="A13" s="38" t="s">
        <v>17</v>
      </c>
      <c r="B13" s="2">
        <f>550+200</f>
        <v>750</v>
      </c>
      <c r="C13" s="2">
        <f>5000+2000</f>
        <v>7000</v>
      </c>
      <c r="D13" s="2"/>
      <c r="E13" s="2">
        <v>20</v>
      </c>
      <c r="F13" s="2">
        <v>50</v>
      </c>
      <c r="G13" s="2"/>
      <c r="H13" s="2">
        <f t="shared" si="0"/>
        <v>770</v>
      </c>
      <c r="I13" s="2">
        <f t="shared" si="1"/>
        <v>7050</v>
      </c>
    </row>
    <row r="14" spans="1:9" s="3" customFormat="1" ht="9">
      <c r="A14" s="38" t="s">
        <v>48</v>
      </c>
      <c r="B14" s="2">
        <f>100+25</f>
        <v>125</v>
      </c>
      <c r="C14" s="2">
        <f>260+301</f>
        <v>561</v>
      </c>
      <c r="D14" s="2"/>
      <c r="E14" s="2">
        <v>100</v>
      </c>
      <c r="F14" s="2">
        <v>1750</v>
      </c>
      <c r="G14" s="2"/>
      <c r="H14" s="2">
        <f t="shared" si="0"/>
        <v>225</v>
      </c>
      <c r="I14" s="2">
        <f t="shared" si="1"/>
        <v>2311</v>
      </c>
    </row>
    <row r="15" spans="1:9" s="3" customFormat="1" ht="9">
      <c r="A15" s="38" t="s">
        <v>4</v>
      </c>
      <c r="B15" s="2">
        <f>400+4700+300</f>
        <v>5400</v>
      </c>
      <c r="C15" s="2">
        <f>7200+51700+4050</f>
        <v>62950</v>
      </c>
      <c r="D15" s="2"/>
      <c r="E15" s="2">
        <f>300+100</f>
        <v>400</v>
      </c>
      <c r="F15" s="2">
        <f>3000+1200</f>
        <v>4200</v>
      </c>
      <c r="G15" s="2"/>
      <c r="H15" s="2">
        <f t="shared" si="0"/>
        <v>5800</v>
      </c>
      <c r="I15" s="2">
        <f t="shared" si="1"/>
        <v>67150</v>
      </c>
    </row>
    <row r="16" spans="1:9" s="3" customFormat="1" ht="9">
      <c r="A16" s="38" t="s">
        <v>44</v>
      </c>
      <c r="B16" s="2">
        <f>260+15</f>
        <v>275</v>
      </c>
      <c r="C16" s="2">
        <f>3800+57</f>
        <v>3857</v>
      </c>
      <c r="D16" s="2"/>
      <c r="E16" s="28">
        <v>0</v>
      </c>
      <c r="F16" s="28">
        <v>0</v>
      </c>
      <c r="G16" s="2"/>
      <c r="H16" s="2">
        <f t="shared" si="0"/>
        <v>275</v>
      </c>
      <c r="I16" s="2">
        <f t="shared" si="1"/>
        <v>3857</v>
      </c>
    </row>
    <row r="17" spans="1:9" s="3" customFormat="1" ht="9">
      <c r="A17" s="38" t="s">
        <v>5</v>
      </c>
      <c r="B17" s="2">
        <f>2885+2475+2010</f>
        <v>7370</v>
      </c>
      <c r="C17" s="2">
        <f>54675+46209+28606</f>
        <v>129490</v>
      </c>
      <c r="D17" s="2"/>
      <c r="E17" s="2">
        <f>1290+1545+895</f>
        <v>3730</v>
      </c>
      <c r="F17" s="2">
        <f>24015+26025+17055</f>
        <v>67095</v>
      </c>
      <c r="G17" s="2"/>
      <c r="H17" s="2">
        <f t="shared" si="0"/>
        <v>11100</v>
      </c>
      <c r="I17" s="2">
        <f t="shared" si="1"/>
        <v>196585</v>
      </c>
    </row>
    <row r="18" spans="1:9" s="3" customFormat="1" ht="9">
      <c r="A18" s="38" t="s">
        <v>6</v>
      </c>
      <c r="B18" s="2">
        <v>800</v>
      </c>
      <c r="C18" s="2">
        <v>12000</v>
      </c>
      <c r="D18" s="2"/>
      <c r="E18" s="2">
        <f>60+1000</f>
        <v>1060</v>
      </c>
      <c r="F18" s="2">
        <f>770+13600</f>
        <v>14370</v>
      </c>
      <c r="G18" s="2"/>
      <c r="H18" s="2">
        <f t="shared" si="0"/>
        <v>1860</v>
      </c>
      <c r="I18" s="2">
        <f t="shared" si="1"/>
        <v>26370</v>
      </c>
    </row>
    <row r="19" spans="1:9" s="3" customFormat="1" ht="9">
      <c r="A19" s="38" t="s">
        <v>7</v>
      </c>
      <c r="B19" s="2">
        <f>120+340+176</f>
        <v>636</v>
      </c>
      <c r="C19" s="2">
        <f>144+6800+1459</f>
        <v>8403</v>
      </c>
      <c r="D19" s="2"/>
      <c r="E19" s="2">
        <f>90+90</f>
        <v>180</v>
      </c>
      <c r="F19" s="2">
        <f>1260+758</f>
        <v>2018</v>
      </c>
      <c r="G19" s="2"/>
      <c r="H19" s="2">
        <f t="shared" si="0"/>
        <v>816</v>
      </c>
      <c r="I19" s="2">
        <f t="shared" si="1"/>
        <v>10421</v>
      </c>
    </row>
    <row r="20" spans="1:15" ht="9" customHeight="1">
      <c r="A20" s="38" t="s">
        <v>8</v>
      </c>
      <c r="B20" s="2">
        <f>630+1380+3020</f>
        <v>5030</v>
      </c>
      <c r="C20" s="2">
        <f>14897+32619+72154</f>
        <v>119670</v>
      </c>
      <c r="D20" s="2"/>
      <c r="E20" s="2">
        <f>50+50</f>
        <v>100</v>
      </c>
      <c r="F20" s="2">
        <f>900+1020</f>
        <v>1920</v>
      </c>
      <c r="G20" s="2"/>
      <c r="H20" s="2">
        <f t="shared" si="0"/>
        <v>5130</v>
      </c>
      <c r="I20" s="2">
        <f t="shared" si="1"/>
        <v>121590</v>
      </c>
      <c r="J20" s="7"/>
      <c r="K20" s="7"/>
      <c r="L20" s="7"/>
      <c r="M20" s="7"/>
      <c r="N20" s="7"/>
      <c r="O20" s="7"/>
    </row>
    <row r="21" spans="1:15" ht="9" customHeight="1">
      <c r="A21" s="38" t="s">
        <v>9</v>
      </c>
      <c r="B21" s="2">
        <f>435+780</f>
        <v>1215</v>
      </c>
      <c r="C21" s="2">
        <f>7320+11280</f>
        <v>18600</v>
      </c>
      <c r="D21" s="2"/>
      <c r="E21" s="2">
        <v>200</v>
      </c>
      <c r="F21" s="2">
        <v>2560</v>
      </c>
      <c r="G21" s="2"/>
      <c r="H21" s="2">
        <f t="shared" si="0"/>
        <v>1415</v>
      </c>
      <c r="I21" s="2">
        <f t="shared" si="1"/>
        <v>21160</v>
      </c>
      <c r="J21" s="7"/>
      <c r="K21" s="7"/>
      <c r="L21" s="7"/>
      <c r="M21" s="7"/>
      <c r="N21" s="7"/>
      <c r="O21" s="7"/>
    </row>
    <row r="22" spans="1:9" ht="9" customHeight="1">
      <c r="A22" s="38" t="s">
        <v>10</v>
      </c>
      <c r="B22" s="2">
        <f>730+10300+4100</f>
        <v>15130</v>
      </c>
      <c r="C22" s="2">
        <f>9360+119740+50700</f>
        <v>179800</v>
      </c>
      <c r="D22" s="2"/>
      <c r="E22" s="2">
        <f>100+300+500</f>
        <v>900</v>
      </c>
      <c r="F22" s="2">
        <f>800+2400+4000</f>
        <v>7200</v>
      </c>
      <c r="G22" s="2"/>
      <c r="H22" s="2">
        <f t="shared" si="0"/>
        <v>16030</v>
      </c>
      <c r="I22" s="2">
        <f t="shared" si="1"/>
        <v>187000</v>
      </c>
    </row>
    <row r="23" spans="1:9" ht="9" customHeight="1">
      <c r="A23" s="38" t="s">
        <v>11</v>
      </c>
      <c r="B23" s="2">
        <f>320+16380+1310</f>
        <v>18010</v>
      </c>
      <c r="C23" s="2">
        <f>3375+359670+18015</f>
        <v>381060</v>
      </c>
      <c r="D23" s="2"/>
      <c r="E23" s="2">
        <f>3585+50</f>
        <v>3635</v>
      </c>
      <c r="F23" s="2">
        <f>72835+780</f>
        <v>73615</v>
      </c>
      <c r="G23" s="2"/>
      <c r="H23" s="2">
        <f t="shared" si="0"/>
        <v>21645</v>
      </c>
      <c r="I23" s="2">
        <f t="shared" si="1"/>
        <v>454675</v>
      </c>
    </row>
    <row r="24" spans="1:9" ht="9" customHeight="1">
      <c r="A24" s="38" t="s">
        <v>12</v>
      </c>
      <c r="B24" s="2">
        <f>5+645+50</f>
        <v>700</v>
      </c>
      <c r="C24" s="2">
        <f>20+9860+660</f>
        <v>10540</v>
      </c>
      <c r="D24" s="2"/>
      <c r="E24" s="2">
        <v>360</v>
      </c>
      <c r="F24" s="2">
        <v>6000</v>
      </c>
      <c r="G24" s="2"/>
      <c r="H24" s="2">
        <f t="shared" si="0"/>
        <v>1060</v>
      </c>
      <c r="I24" s="2">
        <f t="shared" si="1"/>
        <v>16540</v>
      </c>
    </row>
    <row r="25" spans="1:9" ht="9" customHeight="1">
      <c r="A25" s="38" t="s">
        <v>13</v>
      </c>
      <c r="B25" s="2">
        <f>100+7120+800</f>
        <v>8020</v>
      </c>
      <c r="C25" s="2">
        <f>2000+119880+12000</f>
        <v>133880</v>
      </c>
      <c r="D25" s="2"/>
      <c r="E25" s="2">
        <f>600+3780+800</f>
        <v>5180</v>
      </c>
      <c r="F25" s="2">
        <f>11200+58825+9500</f>
        <v>79525</v>
      </c>
      <c r="G25" s="2"/>
      <c r="H25" s="2">
        <f t="shared" si="0"/>
        <v>13200</v>
      </c>
      <c r="I25" s="2">
        <f t="shared" si="1"/>
        <v>213405</v>
      </c>
    </row>
    <row r="26" spans="1:9" ht="9" customHeight="1">
      <c r="A26" s="38" t="s">
        <v>14</v>
      </c>
      <c r="B26" s="2">
        <f>1050+210</f>
        <v>1260</v>
      </c>
      <c r="C26" s="2">
        <f>16000+2800</f>
        <v>18800</v>
      </c>
      <c r="D26" s="2"/>
      <c r="E26" s="28">
        <v>0</v>
      </c>
      <c r="F26" s="28">
        <v>0</v>
      </c>
      <c r="G26" s="2"/>
      <c r="H26" s="2">
        <f t="shared" si="0"/>
        <v>1260</v>
      </c>
      <c r="I26" s="2">
        <f t="shared" si="1"/>
        <v>18800</v>
      </c>
    </row>
    <row r="27" spans="1:9" ht="9" customHeight="1">
      <c r="A27" s="32" t="s">
        <v>15</v>
      </c>
      <c r="B27" s="29">
        <f>SUM(B11:B26)</f>
        <v>65321</v>
      </c>
      <c r="C27" s="29">
        <f aca="true" t="shared" si="2" ref="C27:I27">SUM(C11:C26)</f>
        <v>1093836</v>
      </c>
      <c r="D27" s="29"/>
      <c r="E27" s="29">
        <f t="shared" si="2"/>
        <v>15965</v>
      </c>
      <c r="F27" s="29">
        <f t="shared" si="2"/>
        <v>261303</v>
      </c>
      <c r="G27" s="29"/>
      <c r="H27" s="29">
        <f t="shared" si="2"/>
        <v>81286</v>
      </c>
      <c r="I27" s="29">
        <f t="shared" si="2"/>
        <v>1355139</v>
      </c>
    </row>
    <row r="28" spans="1:9" ht="9" customHeight="1">
      <c r="A28" s="32" t="s">
        <v>54</v>
      </c>
      <c r="B28" s="29">
        <f>SUM(B11:B16)</f>
        <v>7150</v>
      </c>
      <c r="C28" s="29">
        <f>SUM(C11:C16)</f>
        <v>81593</v>
      </c>
      <c r="D28" s="29"/>
      <c r="E28" s="29">
        <f>SUM(E11:E16)</f>
        <v>620</v>
      </c>
      <c r="F28" s="29">
        <f>SUM(F11:F16)</f>
        <v>7000</v>
      </c>
      <c r="G28" s="29"/>
      <c r="H28" s="29">
        <f>SUM(H11:H16)</f>
        <v>7770</v>
      </c>
      <c r="I28" s="29">
        <f>SUM(I11:I16)</f>
        <v>88593</v>
      </c>
    </row>
    <row r="29" spans="1:9" ht="9" customHeight="1">
      <c r="A29" s="50" t="s">
        <v>53</v>
      </c>
      <c r="B29" s="29">
        <f>SUM(B17:B20)</f>
        <v>13836</v>
      </c>
      <c r="C29" s="29">
        <f>SUM(C17:C20)</f>
        <v>269563</v>
      </c>
      <c r="D29" s="29"/>
      <c r="E29" s="29">
        <f>SUM(E17:E20)</f>
        <v>5070</v>
      </c>
      <c r="F29" s="29">
        <f>SUM(F17:F20)</f>
        <v>85403</v>
      </c>
      <c r="G29" s="29"/>
      <c r="H29" s="29">
        <f>SUM(H17:H20)</f>
        <v>18906</v>
      </c>
      <c r="I29" s="29">
        <f>SUM(I17:I20)</f>
        <v>354966</v>
      </c>
    </row>
    <row r="30" spans="1:9" ht="9" customHeight="1">
      <c r="A30" s="32" t="s">
        <v>39</v>
      </c>
      <c r="B30" s="29">
        <f>SUM(B21:B26)</f>
        <v>44335</v>
      </c>
      <c r="C30" s="29">
        <f>SUM(C21:C26)</f>
        <v>742680</v>
      </c>
      <c r="D30" s="29"/>
      <c r="E30" s="29">
        <f>SUM(E21:E26)</f>
        <v>10275</v>
      </c>
      <c r="F30" s="29">
        <f>SUM(F21:F26)</f>
        <v>168900</v>
      </c>
      <c r="G30" s="29"/>
      <c r="H30" s="29">
        <f>SUM(H21:H26)</f>
        <v>54610</v>
      </c>
      <c r="I30" s="29">
        <f>SUM(I21:I26)</f>
        <v>911580</v>
      </c>
    </row>
    <row r="31" spans="1:9" ht="9" customHeight="1">
      <c r="A31" s="32"/>
      <c r="B31" s="29"/>
      <c r="C31" s="29"/>
      <c r="D31" s="29"/>
      <c r="E31" s="29"/>
      <c r="F31" s="29"/>
      <c r="G31" s="29"/>
      <c r="H31" s="29"/>
      <c r="I31" s="29"/>
    </row>
    <row r="32" spans="1:9" s="12" customFormat="1" ht="12" customHeight="1">
      <c r="A32" s="93" t="s">
        <v>59</v>
      </c>
      <c r="B32" s="93"/>
      <c r="C32" s="93"/>
      <c r="D32" s="93"/>
      <c r="E32" s="93"/>
      <c r="F32" s="93"/>
      <c r="G32" s="93"/>
      <c r="H32" s="93"/>
      <c r="I32" s="93"/>
    </row>
    <row r="33" s="12" customFormat="1" ht="9" customHeight="1"/>
    <row r="34" spans="1:9" s="12" customFormat="1" ht="9" customHeight="1">
      <c r="A34" s="27" t="s">
        <v>3</v>
      </c>
      <c r="B34" s="27">
        <v>220</v>
      </c>
      <c r="C34" s="43">
        <v>2770</v>
      </c>
      <c r="D34" s="43"/>
      <c r="E34" s="70">
        <v>50</v>
      </c>
      <c r="F34" s="70">
        <v>500</v>
      </c>
      <c r="G34" s="27"/>
      <c r="H34" s="72">
        <f>+B34+E34</f>
        <v>270</v>
      </c>
      <c r="I34" s="72">
        <f>+C34+F34</f>
        <v>3270</v>
      </c>
    </row>
    <row r="35" spans="1:9" s="12" customFormat="1" ht="9" customHeight="1">
      <c r="A35" s="27" t="s">
        <v>17</v>
      </c>
      <c r="B35" s="27">
        <v>550</v>
      </c>
      <c r="C35" s="43">
        <v>5000</v>
      </c>
      <c r="D35" s="43"/>
      <c r="E35" s="71"/>
      <c r="F35" s="71"/>
      <c r="G35" s="27"/>
      <c r="H35" s="72">
        <f aca="true" t="shared" si="3" ref="H35:H47">+B35+E35</f>
        <v>550</v>
      </c>
      <c r="I35" s="72">
        <f aca="true" t="shared" si="4" ref="I35:I47">+C35+F35</f>
        <v>5000</v>
      </c>
    </row>
    <row r="36" spans="1:9" s="12" customFormat="1" ht="9" customHeight="1">
      <c r="A36" s="27" t="s">
        <v>48</v>
      </c>
      <c r="B36" s="27">
        <v>100</v>
      </c>
      <c r="C36" s="27">
        <v>260</v>
      </c>
      <c r="D36" s="27"/>
      <c r="E36" s="71"/>
      <c r="F36" s="71"/>
      <c r="G36" s="27"/>
      <c r="H36" s="72">
        <f t="shared" si="3"/>
        <v>100</v>
      </c>
      <c r="I36" s="72">
        <f t="shared" si="4"/>
        <v>260</v>
      </c>
    </row>
    <row r="37" spans="1:9" s="12" customFormat="1" ht="9" customHeight="1">
      <c r="A37" s="27" t="s">
        <v>4</v>
      </c>
      <c r="B37" s="43">
        <v>4700</v>
      </c>
      <c r="C37" s="43">
        <v>51700</v>
      </c>
      <c r="D37" s="43"/>
      <c r="E37" s="70">
        <v>300</v>
      </c>
      <c r="F37" s="70">
        <v>3000</v>
      </c>
      <c r="G37" s="43"/>
      <c r="H37" s="72">
        <f t="shared" si="3"/>
        <v>5000</v>
      </c>
      <c r="I37" s="72">
        <f t="shared" si="4"/>
        <v>54700</v>
      </c>
    </row>
    <row r="38" spans="1:9" s="12" customFormat="1" ht="9" customHeight="1">
      <c r="A38" s="27" t="s">
        <v>44</v>
      </c>
      <c r="B38" s="27">
        <v>15</v>
      </c>
      <c r="C38" s="27">
        <v>57</v>
      </c>
      <c r="D38" s="27"/>
      <c r="E38" s="71"/>
      <c r="F38" s="71"/>
      <c r="G38" s="27"/>
      <c r="H38" s="72">
        <f t="shared" si="3"/>
        <v>15</v>
      </c>
      <c r="I38" s="72">
        <f t="shared" si="4"/>
        <v>57</v>
      </c>
    </row>
    <row r="39" spans="1:9" s="12" customFormat="1" ht="9" customHeight="1">
      <c r="A39" s="27" t="s">
        <v>5</v>
      </c>
      <c r="B39" s="27">
        <v>2475</v>
      </c>
      <c r="C39" s="27">
        <v>46209</v>
      </c>
      <c r="D39" s="27"/>
      <c r="E39" s="70">
        <v>1545</v>
      </c>
      <c r="F39" s="70">
        <v>26025</v>
      </c>
      <c r="G39" s="27"/>
      <c r="H39" s="72">
        <f t="shared" si="3"/>
        <v>4020</v>
      </c>
      <c r="I39" s="72">
        <f t="shared" si="4"/>
        <v>72234</v>
      </c>
    </row>
    <row r="40" spans="1:9" s="12" customFormat="1" ht="9" customHeight="1">
      <c r="A40" s="27" t="s">
        <v>7</v>
      </c>
      <c r="B40" s="27">
        <v>340</v>
      </c>
      <c r="C40" s="43">
        <v>6800</v>
      </c>
      <c r="D40" s="43"/>
      <c r="E40" s="70">
        <v>90</v>
      </c>
      <c r="F40" s="70">
        <v>1260</v>
      </c>
      <c r="G40" s="27"/>
      <c r="H40" s="72">
        <f t="shared" si="3"/>
        <v>430</v>
      </c>
      <c r="I40" s="72">
        <f t="shared" si="4"/>
        <v>8060</v>
      </c>
    </row>
    <row r="41" spans="1:9" s="12" customFormat="1" ht="9" customHeight="1">
      <c r="A41" s="27" t="s">
        <v>8</v>
      </c>
      <c r="B41" s="43">
        <v>1380</v>
      </c>
      <c r="C41" s="43">
        <v>32619</v>
      </c>
      <c r="D41" s="43"/>
      <c r="E41" s="70">
        <v>50</v>
      </c>
      <c r="F41" s="70">
        <v>900</v>
      </c>
      <c r="G41" s="27"/>
      <c r="H41" s="72">
        <f t="shared" si="3"/>
        <v>1430</v>
      </c>
      <c r="I41" s="72">
        <f t="shared" si="4"/>
        <v>33519</v>
      </c>
    </row>
    <row r="42" spans="1:9" s="12" customFormat="1" ht="9" customHeight="1">
      <c r="A42" s="27" t="s">
        <v>9</v>
      </c>
      <c r="B42" s="27">
        <v>435</v>
      </c>
      <c r="C42" s="43">
        <v>7320</v>
      </c>
      <c r="D42" s="43"/>
      <c r="E42" s="71"/>
      <c r="F42" s="71"/>
      <c r="G42" s="27"/>
      <c r="H42" s="72">
        <f t="shared" si="3"/>
        <v>435</v>
      </c>
      <c r="I42" s="72">
        <f t="shared" si="4"/>
        <v>7320</v>
      </c>
    </row>
    <row r="43" spans="1:9" s="12" customFormat="1" ht="9" customHeight="1">
      <c r="A43" s="27" t="s">
        <v>10</v>
      </c>
      <c r="B43" s="27">
        <v>10300</v>
      </c>
      <c r="C43" s="43">
        <v>119740</v>
      </c>
      <c r="D43" s="43"/>
      <c r="E43" s="71">
        <v>300</v>
      </c>
      <c r="F43" s="71">
        <v>2400</v>
      </c>
      <c r="G43" s="27"/>
      <c r="H43" s="72">
        <f t="shared" si="3"/>
        <v>10600</v>
      </c>
      <c r="I43" s="72">
        <f t="shared" si="4"/>
        <v>122140</v>
      </c>
    </row>
    <row r="44" spans="1:9" s="12" customFormat="1" ht="9" customHeight="1">
      <c r="A44" s="27" t="s">
        <v>11</v>
      </c>
      <c r="B44" s="43">
        <v>16380</v>
      </c>
      <c r="C44" s="43">
        <v>359670</v>
      </c>
      <c r="D44" s="43"/>
      <c r="E44" s="70">
        <v>3585</v>
      </c>
      <c r="F44" s="70">
        <v>72835</v>
      </c>
      <c r="G44" s="43"/>
      <c r="H44" s="72">
        <f t="shared" si="3"/>
        <v>19965</v>
      </c>
      <c r="I44" s="72">
        <f t="shared" si="4"/>
        <v>432505</v>
      </c>
    </row>
    <row r="45" spans="1:9" s="12" customFormat="1" ht="9" customHeight="1">
      <c r="A45" s="27" t="s">
        <v>12</v>
      </c>
      <c r="B45" s="27">
        <v>645</v>
      </c>
      <c r="C45" s="43">
        <v>9860</v>
      </c>
      <c r="D45" s="43"/>
      <c r="E45" s="71">
        <v>360</v>
      </c>
      <c r="F45" s="71">
        <v>6000</v>
      </c>
      <c r="G45" s="27"/>
      <c r="H45" s="72">
        <f t="shared" si="3"/>
        <v>1005</v>
      </c>
      <c r="I45" s="72">
        <f t="shared" si="4"/>
        <v>15860</v>
      </c>
    </row>
    <row r="46" spans="1:9" s="12" customFormat="1" ht="9" customHeight="1">
      <c r="A46" s="27" t="s">
        <v>13</v>
      </c>
      <c r="B46" s="43">
        <v>7120</v>
      </c>
      <c r="C46" s="43">
        <v>119880</v>
      </c>
      <c r="D46" s="43"/>
      <c r="E46" s="70">
        <v>3780</v>
      </c>
      <c r="F46" s="70">
        <v>58825</v>
      </c>
      <c r="G46" s="43"/>
      <c r="H46" s="72">
        <f t="shared" si="3"/>
        <v>10900</v>
      </c>
      <c r="I46" s="72">
        <f t="shared" si="4"/>
        <v>178705</v>
      </c>
    </row>
    <row r="47" spans="1:9" s="12" customFormat="1" ht="9" customHeight="1">
      <c r="A47" s="27" t="s">
        <v>14</v>
      </c>
      <c r="B47" s="43">
        <v>1050</v>
      </c>
      <c r="C47" s="43">
        <v>16000</v>
      </c>
      <c r="D47" s="43"/>
      <c r="E47" s="70">
        <v>0</v>
      </c>
      <c r="F47" s="70">
        <v>0</v>
      </c>
      <c r="G47" s="43"/>
      <c r="H47" s="72">
        <f t="shared" si="3"/>
        <v>1050</v>
      </c>
      <c r="I47" s="72">
        <f t="shared" si="4"/>
        <v>16000</v>
      </c>
    </row>
    <row r="48" spans="1:9" s="10" customFormat="1" ht="9">
      <c r="A48" s="32" t="s">
        <v>15</v>
      </c>
      <c r="B48" s="29">
        <f>SUM(B34:B47)</f>
        <v>45710</v>
      </c>
      <c r="C48" s="29">
        <f>SUM(C34:C47)</f>
        <v>777885</v>
      </c>
      <c r="D48" s="29"/>
      <c r="E48" s="29">
        <f>SUM(E34:E47)</f>
        <v>10060</v>
      </c>
      <c r="F48" s="29">
        <f>SUM(F34:F47)</f>
        <v>171745</v>
      </c>
      <c r="G48" s="29"/>
      <c r="H48" s="29">
        <f>SUM(H34:H47)</f>
        <v>55770</v>
      </c>
      <c r="I48" s="29">
        <f>SUM(I34:I47)</f>
        <v>949630</v>
      </c>
    </row>
    <row r="49" spans="1:9" s="10" customFormat="1" ht="9">
      <c r="A49" s="32" t="s">
        <v>54</v>
      </c>
      <c r="B49" s="29">
        <f>SUM(B34:B38)</f>
        <v>5585</v>
      </c>
      <c r="C49" s="29">
        <f>SUM(C34:C38)</f>
        <v>59787</v>
      </c>
      <c r="D49" s="29"/>
      <c r="E49" s="29">
        <f>SUM(E34:E38)</f>
        <v>350</v>
      </c>
      <c r="F49" s="29">
        <f>SUM(F34:F38)</f>
        <v>3500</v>
      </c>
      <c r="G49" s="29"/>
      <c r="H49" s="29">
        <f>SUM(H34:H38)</f>
        <v>5935</v>
      </c>
      <c r="I49" s="29">
        <f>SUM(I34:I38)</f>
        <v>63287</v>
      </c>
    </row>
    <row r="50" spans="1:9" s="10" customFormat="1" ht="9">
      <c r="A50" s="32" t="s">
        <v>53</v>
      </c>
      <c r="B50" s="7">
        <f>SUM(B39:B41)</f>
        <v>4195</v>
      </c>
      <c r="C50" s="7">
        <f>SUM(C39:C41)</f>
        <v>85628</v>
      </c>
      <c r="D50" s="7"/>
      <c r="E50" s="7">
        <f>SUM(E39:E41)</f>
        <v>1685</v>
      </c>
      <c r="F50" s="7">
        <f>SUM(F39:F41)</f>
        <v>28185</v>
      </c>
      <c r="G50" s="7"/>
      <c r="H50" s="7">
        <f>SUM(H39:H41)</f>
        <v>5880</v>
      </c>
      <c r="I50" s="7">
        <f>SUM(I39:I41)</f>
        <v>113813</v>
      </c>
    </row>
    <row r="51" spans="1:9" s="10" customFormat="1" ht="9">
      <c r="A51" s="32" t="s">
        <v>39</v>
      </c>
      <c r="B51" s="7">
        <f>SUM(B42:B47)</f>
        <v>35930</v>
      </c>
      <c r="C51" s="7">
        <f>SUM(C42:C47)</f>
        <v>632470</v>
      </c>
      <c r="D51" s="7"/>
      <c r="E51" s="7">
        <f>SUM(E42:E47)</f>
        <v>8025</v>
      </c>
      <c r="F51" s="7">
        <f>SUM(F42:F47)</f>
        <v>140060</v>
      </c>
      <c r="G51" s="7"/>
      <c r="H51" s="7">
        <f>SUM(H42:H47)</f>
        <v>43955</v>
      </c>
      <c r="I51" s="7">
        <f>SUM(I42:I47)</f>
        <v>772530</v>
      </c>
    </row>
    <row r="52" spans="1:9" s="10" customFormat="1" ht="9">
      <c r="A52" s="15"/>
      <c r="B52" s="15"/>
      <c r="C52" s="15"/>
      <c r="D52" s="15"/>
      <c r="E52" s="15"/>
      <c r="F52" s="15"/>
      <c r="G52" s="15"/>
      <c r="H52" s="15"/>
      <c r="I52" s="15"/>
    </row>
    <row r="53" spans="1:9" s="10" customFormat="1" ht="9">
      <c r="A53" s="14"/>
      <c r="B53" s="14"/>
      <c r="C53" s="14"/>
      <c r="D53" s="14"/>
      <c r="E53" s="14"/>
      <c r="F53" s="14"/>
      <c r="G53" s="14"/>
      <c r="H53" s="14"/>
      <c r="I53" s="14"/>
    </row>
    <row r="54" spans="1:9" s="10" customFormat="1" ht="9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9">
      <c r="A55" s="14"/>
      <c r="B55" s="14"/>
      <c r="C55" s="14"/>
      <c r="D55" s="14"/>
      <c r="E55" s="14"/>
      <c r="F55" s="14"/>
      <c r="G55" s="14"/>
      <c r="H55" s="14"/>
      <c r="I55" s="14"/>
    </row>
    <row r="56" spans="1:9" s="10" customFormat="1" ht="9">
      <c r="A56" s="14"/>
      <c r="B56" s="14"/>
      <c r="C56" s="14"/>
      <c r="D56" s="14"/>
      <c r="E56" s="14"/>
      <c r="F56" s="14"/>
      <c r="G56" s="14"/>
      <c r="H56" s="14"/>
      <c r="I56" s="14"/>
    </row>
  </sheetData>
  <mergeCells count="6">
    <mergeCell ref="A9:I9"/>
    <mergeCell ref="A32:I32"/>
    <mergeCell ref="A5:A6"/>
    <mergeCell ref="H5:I5"/>
    <mergeCell ref="B5:C5"/>
    <mergeCell ref="E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1">
      <selection activeCell="A34" sqref="A34:I34"/>
    </sheetView>
  </sheetViews>
  <sheetFormatPr defaultColWidth="9.140625" defaultRowHeight="12.75"/>
  <cols>
    <col min="1" max="1" width="17.8515625" style="20" customWidth="1"/>
    <col min="2" max="2" width="9.421875" style="20" bestFit="1" customWidth="1"/>
    <col min="3" max="3" width="9.00390625" style="20" customWidth="1"/>
    <col min="4" max="4" width="2.140625" style="20" customWidth="1"/>
    <col min="5" max="5" width="9.28125" style="20" bestFit="1" customWidth="1"/>
    <col min="6" max="6" width="9.421875" style="20" bestFit="1" customWidth="1"/>
    <col min="7" max="7" width="2.140625" style="20" customWidth="1"/>
    <col min="8" max="9" width="9.00390625" style="20" customWidth="1"/>
    <col min="10" max="10" width="13.140625" style="20" customWidth="1"/>
    <col min="11" max="12" width="9.140625" style="20" customWidth="1"/>
    <col min="13" max="13" width="9.8515625" style="20" bestFit="1" customWidth="1"/>
    <col min="14" max="16384" width="9.140625" style="20" customWidth="1"/>
  </cols>
  <sheetData>
    <row r="1" ht="9" customHeight="1"/>
    <row r="2" s="18" customFormat="1" ht="12.75">
      <c r="A2" s="16" t="s">
        <v>64</v>
      </c>
    </row>
    <row r="3" s="18" customFormat="1" ht="12.75">
      <c r="A3" s="17" t="s">
        <v>61</v>
      </c>
    </row>
    <row r="4" spans="1:9" ht="9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4.25" customHeight="1">
      <c r="A5" s="94" t="s">
        <v>30</v>
      </c>
      <c r="B5" s="96" t="s">
        <v>51</v>
      </c>
      <c r="C5" s="96"/>
      <c r="D5" s="22"/>
      <c r="E5" s="96" t="s">
        <v>50</v>
      </c>
      <c r="F5" s="96"/>
      <c r="G5" s="23"/>
      <c r="H5" s="96" t="s">
        <v>52</v>
      </c>
      <c r="I5" s="96"/>
    </row>
    <row r="6" spans="1:9" s="3" customFormat="1" ht="18.75" customHeight="1">
      <c r="A6" s="95"/>
      <c r="B6" s="24" t="s">
        <v>1</v>
      </c>
      <c r="C6" s="24" t="s">
        <v>31</v>
      </c>
      <c r="D6" s="25"/>
      <c r="E6" s="24" t="s">
        <v>1</v>
      </c>
      <c r="F6" s="24" t="s">
        <v>31</v>
      </c>
      <c r="G6" s="24"/>
      <c r="H6" s="24" t="s">
        <v>1</v>
      </c>
      <c r="I6" s="24" t="s">
        <v>31</v>
      </c>
    </row>
    <row r="7" spans="1:17" s="3" customFormat="1" ht="12.75">
      <c r="A7" s="6"/>
      <c r="B7" s="5"/>
      <c r="C7" s="5"/>
      <c r="D7" s="5"/>
      <c r="E7" s="5"/>
      <c r="F7" s="5"/>
      <c r="G7" s="5"/>
      <c r="H7" s="5"/>
      <c r="I7" s="5"/>
      <c r="J7" s="46"/>
      <c r="K7" s="46"/>
      <c r="L7" s="46"/>
      <c r="M7" s="46"/>
      <c r="N7" s="46"/>
      <c r="O7" s="46"/>
      <c r="P7" s="46"/>
      <c r="Q7"/>
    </row>
    <row r="8" spans="1:17" ht="12" customHeight="1">
      <c r="A8" s="93" t="s">
        <v>57</v>
      </c>
      <c r="B8" s="93"/>
      <c r="C8" s="93"/>
      <c r="D8" s="93"/>
      <c r="E8" s="93"/>
      <c r="F8" s="93"/>
      <c r="G8" s="93"/>
      <c r="H8" s="93"/>
      <c r="I8" s="93"/>
      <c r="J8" s="46"/>
      <c r="K8" s="46"/>
      <c r="L8" s="46"/>
      <c r="M8" s="46"/>
      <c r="N8" s="46"/>
      <c r="O8" s="46"/>
      <c r="P8" s="46"/>
      <c r="Q8"/>
    </row>
    <row r="9" spans="10:17" s="12" customFormat="1" ht="9" customHeight="1">
      <c r="J9" s="46"/>
      <c r="K9" s="46"/>
      <c r="L9" s="46"/>
      <c r="M9" s="46"/>
      <c r="N9" s="46"/>
      <c r="O9" s="46"/>
      <c r="P9" s="46"/>
      <c r="Q9"/>
    </row>
    <row r="10" spans="1:17" s="12" customFormat="1" ht="9" customHeight="1">
      <c r="A10" s="3" t="s">
        <v>2</v>
      </c>
      <c r="B10" s="46">
        <v>750</v>
      </c>
      <c r="C10" s="66">
        <v>1380</v>
      </c>
      <c r="D10" s="2"/>
      <c r="E10" s="66">
        <v>2000</v>
      </c>
      <c r="F10" s="66">
        <v>3200</v>
      </c>
      <c r="G10" s="2"/>
      <c r="H10" s="2">
        <f>B10+E10</f>
        <v>2750</v>
      </c>
      <c r="I10" s="2">
        <f>C10+F10</f>
        <v>4580</v>
      </c>
      <c r="J10" s="46"/>
      <c r="K10" s="46"/>
      <c r="L10" s="46"/>
      <c r="M10" s="46"/>
      <c r="N10" s="46"/>
      <c r="O10" s="46"/>
      <c r="P10" s="46"/>
      <c r="Q10"/>
    </row>
    <row r="11" spans="1:17" s="12" customFormat="1" ht="9" customHeight="1">
      <c r="A11" s="3" t="s">
        <v>46</v>
      </c>
      <c r="B11" s="46">
        <v>110</v>
      </c>
      <c r="C11" s="46">
        <v>350</v>
      </c>
      <c r="D11" s="2"/>
      <c r="E11" s="68">
        <v>0</v>
      </c>
      <c r="F11" s="67">
        <v>0</v>
      </c>
      <c r="G11" s="2"/>
      <c r="H11" s="2">
        <f>B11+E11</f>
        <v>110</v>
      </c>
      <c r="I11" s="2">
        <f>C11+F11</f>
        <v>350</v>
      </c>
      <c r="J11" s="46"/>
      <c r="K11" s="46"/>
      <c r="L11" s="46"/>
      <c r="M11" s="46"/>
      <c r="N11" s="46"/>
      <c r="O11" s="46"/>
      <c r="P11" s="46"/>
      <c r="Q11"/>
    </row>
    <row r="12" spans="1:17" s="12" customFormat="1" ht="9" customHeight="1">
      <c r="A12" s="3" t="s">
        <v>3</v>
      </c>
      <c r="B12" s="66">
        <v>1467</v>
      </c>
      <c r="C12" s="66">
        <v>4315</v>
      </c>
      <c r="D12" s="2"/>
      <c r="E12" s="66">
        <v>1500</v>
      </c>
      <c r="F12" s="66">
        <v>3426</v>
      </c>
      <c r="G12" s="2"/>
      <c r="H12" s="2">
        <f aca="true" t="shared" si="0" ref="H12:H28">B12+E12</f>
        <v>2967</v>
      </c>
      <c r="I12" s="2">
        <f aca="true" t="shared" si="1" ref="I12:I28">C12+F12</f>
        <v>7741</v>
      </c>
      <c r="J12" s="46"/>
      <c r="K12" s="46"/>
      <c r="L12" s="46"/>
      <c r="M12" s="46"/>
      <c r="N12" s="46"/>
      <c r="O12" s="46"/>
      <c r="P12" s="46"/>
      <c r="Q12"/>
    </row>
    <row r="13" spans="1:17" s="12" customFormat="1" ht="9" customHeight="1">
      <c r="A13" s="3" t="s">
        <v>38</v>
      </c>
      <c r="B13" s="27">
        <f>SUM(B14)</f>
        <v>20</v>
      </c>
      <c r="C13" s="27">
        <f>SUM(C14)</f>
        <v>14</v>
      </c>
      <c r="D13" s="2"/>
      <c r="E13" s="27">
        <f>SUM(E14)</f>
        <v>40</v>
      </c>
      <c r="F13" s="27">
        <f>SUM(F14)</f>
        <v>28</v>
      </c>
      <c r="G13" s="2"/>
      <c r="H13" s="2">
        <f t="shared" si="0"/>
        <v>60</v>
      </c>
      <c r="I13" s="27">
        <f>SUM(I14)</f>
        <v>42</v>
      </c>
      <c r="J13" s="46"/>
      <c r="K13" s="46"/>
      <c r="L13" s="66"/>
      <c r="M13" s="66"/>
      <c r="N13" s="66"/>
      <c r="O13" s="66"/>
      <c r="P13" s="66"/>
      <c r="Q13"/>
    </row>
    <row r="14" spans="1:17" s="12" customFormat="1" ht="9" customHeight="1">
      <c r="A14" s="10" t="s">
        <v>19</v>
      </c>
      <c r="B14" s="44">
        <v>20</v>
      </c>
      <c r="C14" s="44">
        <v>14</v>
      </c>
      <c r="D14" s="11"/>
      <c r="E14" s="44">
        <v>40</v>
      </c>
      <c r="F14" s="44">
        <v>28</v>
      </c>
      <c r="G14" s="11"/>
      <c r="H14" s="11">
        <f t="shared" si="0"/>
        <v>60</v>
      </c>
      <c r="I14" s="44">
        <f t="shared" si="1"/>
        <v>42</v>
      </c>
      <c r="J14" s="46"/>
      <c r="K14" s="46"/>
      <c r="L14" s="46"/>
      <c r="M14" s="46"/>
      <c r="N14" s="46"/>
      <c r="O14" s="46"/>
      <c r="P14" s="46"/>
      <c r="Q14" s="42"/>
    </row>
    <row r="15" spans="1:17" s="12" customFormat="1" ht="9" customHeight="1">
      <c r="A15" s="3" t="s">
        <v>17</v>
      </c>
      <c r="B15" s="66">
        <v>4330</v>
      </c>
      <c r="C15" s="66">
        <v>11566</v>
      </c>
      <c r="D15" s="2"/>
      <c r="E15" s="66">
        <v>3220</v>
      </c>
      <c r="F15" s="66">
        <v>7536</v>
      </c>
      <c r="G15" s="2"/>
      <c r="H15" s="2">
        <f t="shared" si="0"/>
        <v>7550</v>
      </c>
      <c r="I15" s="2">
        <f t="shared" si="1"/>
        <v>19102</v>
      </c>
      <c r="J15" s="46"/>
      <c r="K15" s="66"/>
      <c r="L15" s="66"/>
      <c r="M15" s="66"/>
      <c r="N15" s="66"/>
      <c r="O15" s="66"/>
      <c r="P15" s="66"/>
      <c r="Q15"/>
    </row>
    <row r="16" spans="1:17" s="12" customFormat="1" ht="9" customHeight="1">
      <c r="A16" s="3" t="s">
        <v>40</v>
      </c>
      <c r="B16" s="46">
        <v>260</v>
      </c>
      <c r="C16" s="46">
        <v>670</v>
      </c>
      <c r="D16" s="2"/>
      <c r="E16" s="46">
        <v>530</v>
      </c>
      <c r="F16" s="66">
        <v>2332</v>
      </c>
      <c r="G16" s="2"/>
      <c r="H16" s="2">
        <f t="shared" si="0"/>
        <v>790</v>
      </c>
      <c r="I16" s="2">
        <f t="shared" si="1"/>
        <v>3002</v>
      </c>
      <c r="J16" s="46"/>
      <c r="K16" s="46"/>
      <c r="L16" s="46"/>
      <c r="M16" s="46"/>
      <c r="N16" s="46"/>
      <c r="O16" s="46"/>
      <c r="P16" s="46"/>
      <c r="Q16"/>
    </row>
    <row r="17" spans="1:17" s="12" customFormat="1" ht="9" customHeight="1">
      <c r="A17" s="3" t="s">
        <v>4</v>
      </c>
      <c r="B17" s="46">
        <v>340</v>
      </c>
      <c r="C17" s="66">
        <v>1190</v>
      </c>
      <c r="D17" s="2"/>
      <c r="E17" s="46">
        <v>240</v>
      </c>
      <c r="F17" s="66">
        <v>1320</v>
      </c>
      <c r="G17" s="2"/>
      <c r="H17" s="2">
        <f t="shared" si="0"/>
        <v>580</v>
      </c>
      <c r="I17" s="2">
        <f t="shared" si="1"/>
        <v>2510</v>
      </c>
      <c r="J17" s="46"/>
      <c r="K17" s="46"/>
      <c r="L17" s="46"/>
      <c r="M17" s="46"/>
      <c r="N17" s="46"/>
      <c r="O17" s="46"/>
      <c r="P17" s="46"/>
      <c r="Q17" s="42"/>
    </row>
    <row r="18" spans="1:17" s="12" customFormat="1" ht="9" customHeight="1">
      <c r="A18" s="3" t="s">
        <v>20</v>
      </c>
      <c r="B18" s="66">
        <v>2274</v>
      </c>
      <c r="C18" s="66">
        <v>12471</v>
      </c>
      <c r="D18" s="2"/>
      <c r="E18" s="46">
        <v>290</v>
      </c>
      <c r="F18" s="66">
        <v>1394</v>
      </c>
      <c r="G18" s="2"/>
      <c r="H18" s="2">
        <f t="shared" si="0"/>
        <v>2564</v>
      </c>
      <c r="I18" s="2">
        <f t="shared" si="1"/>
        <v>13865</v>
      </c>
      <c r="J18" s="46"/>
      <c r="K18" s="66"/>
      <c r="L18" s="66"/>
      <c r="M18" s="66"/>
      <c r="N18" s="66"/>
      <c r="O18" s="66"/>
      <c r="P18" s="66"/>
      <c r="Q18" s="42"/>
    </row>
    <row r="19" spans="1:17" s="12" customFormat="1" ht="9" customHeight="1">
      <c r="A19" s="3" t="s">
        <v>5</v>
      </c>
      <c r="B19" s="66">
        <v>8129</v>
      </c>
      <c r="C19" s="66">
        <v>27905</v>
      </c>
      <c r="D19" s="2"/>
      <c r="E19" s="46">
        <v>885</v>
      </c>
      <c r="F19" s="66">
        <v>2520</v>
      </c>
      <c r="G19" s="2"/>
      <c r="H19" s="2">
        <f>B19+E19</f>
        <v>9014</v>
      </c>
      <c r="I19" s="2">
        <f>C19+F19</f>
        <v>30425</v>
      </c>
      <c r="J19" s="46"/>
      <c r="K19" s="46"/>
      <c r="L19" s="46"/>
      <c r="M19" s="46"/>
      <c r="N19" s="46"/>
      <c r="O19" s="46"/>
      <c r="P19" s="66"/>
      <c r="Q19" s="42"/>
    </row>
    <row r="20" spans="1:17" s="12" customFormat="1" ht="9" customHeight="1">
      <c r="A20" s="3" t="s">
        <v>6</v>
      </c>
      <c r="B20" s="67">
        <v>0</v>
      </c>
      <c r="C20" s="67">
        <v>0</v>
      </c>
      <c r="D20" s="2"/>
      <c r="E20" s="46">
        <v>100</v>
      </c>
      <c r="F20" s="46">
        <v>500</v>
      </c>
      <c r="G20" s="2"/>
      <c r="H20" s="2">
        <f>B20+E20</f>
        <v>100</v>
      </c>
      <c r="I20" s="2">
        <f>C20+F20</f>
        <v>500</v>
      </c>
      <c r="J20" s="46"/>
      <c r="K20" s="46"/>
      <c r="L20" s="46"/>
      <c r="M20" s="66"/>
      <c r="N20" s="66"/>
      <c r="O20" s="66"/>
      <c r="P20" s="66"/>
      <c r="Q20" s="42"/>
    </row>
    <row r="21" spans="1:17" s="12" customFormat="1" ht="9" customHeight="1">
      <c r="A21" s="3" t="s">
        <v>7</v>
      </c>
      <c r="B21" s="46">
        <v>25</v>
      </c>
      <c r="C21" s="46">
        <v>110</v>
      </c>
      <c r="D21" s="2"/>
      <c r="E21" s="66">
        <v>2290</v>
      </c>
      <c r="F21" s="66">
        <v>2918</v>
      </c>
      <c r="G21" s="2"/>
      <c r="H21" s="2">
        <f t="shared" si="0"/>
        <v>2315</v>
      </c>
      <c r="I21" s="2">
        <f t="shared" si="1"/>
        <v>3028</v>
      </c>
      <c r="J21" s="46"/>
      <c r="K21" s="66"/>
      <c r="L21" s="66"/>
      <c r="M21" s="46"/>
      <c r="N21" s="46"/>
      <c r="O21" s="66"/>
      <c r="P21" s="66"/>
      <c r="Q21" s="42"/>
    </row>
    <row r="22" spans="1:17" s="12" customFormat="1" ht="9" customHeight="1">
      <c r="A22" s="3" t="s">
        <v>8</v>
      </c>
      <c r="B22" s="66">
        <v>5303</v>
      </c>
      <c r="C22" s="66">
        <v>20620</v>
      </c>
      <c r="D22" s="2"/>
      <c r="E22" s="66">
        <v>2135</v>
      </c>
      <c r="F22" s="66">
        <v>8615</v>
      </c>
      <c r="G22" s="2"/>
      <c r="H22" s="2">
        <f t="shared" si="0"/>
        <v>7438</v>
      </c>
      <c r="I22" s="2">
        <f t="shared" si="1"/>
        <v>29235</v>
      </c>
      <c r="J22" s="46"/>
      <c r="K22" s="66"/>
      <c r="L22" s="66"/>
      <c r="M22" s="46"/>
      <c r="N22" s="66"/>
      <c r="O22" s="66"/>
      <c r="P22" s="66"/>
      <c r="Q22"/>
    </row>
    <row r="23" spans="1:17" s="12" customFormat="1" ht="9" customHeight="1">
      <c r="A23" s="3" t="s">
        <v>9</v>
      </c>
      <c r="B23" s="46">
        <v>840</v>
      </c>
      <c r="C23" s="66">
        <v>3047</v>
      </c>
      <c r="D23" s="2"/>
      <c r="E23" s="46">
        <v>810</v>
      </c>
      <c r="F23" s="66">
        <v>3888</v>
      </c>
      <c r="G23" s="2"/>
      <c r="H23" s="2">
        <f t="shared" si="0"/>
        <v>1650</v>
      </c>
      <c r="I23" s="2">
        <f t="shared" si="1"/>
        <v>6935</v>
      </c>
      <c r="J23" s="46"/>
      <c r="K23" s="46"/>
      <c r="L23" s="46"/>
      <c r="M23" s="46"/>
      <c r="N23" s="46"/>
      <c r="O23" s="46"/>
      <c r="P23" s="46"/>
      <c r="Q23" s="42"/>
    </row>
    <row r="24" spans="1:17" s="12" customFormat="1" ht="9" customHeight="1">
      <c r="A24" s="3" t="s">
        <v>10</v>
      </c>
      <c r="B24" s="66">
        <v>11680</v>
      </c>
      <c r="C24" s="66">
        <v>59900</v>
      </c>
      <c r="D24" s="2"/>
      <c r="E24" s="66">
        <v>2100</v>
      </c>
      <c r="F24" s="66">
        <v>8700</v>
      </c>
      <c r="G24" s="2"/>
      <c r="H24" s="2">
        <f t="shared" si="0"/>
        <v>13780</v>
      </c>
      <c r="I24" s="2">
        <f t="shared" si="1"/>
        <v>68600</v>
      </c>
      <c r="J24" s="46"/>
      <c r="K24" s="46"/>
      <c r="L24" s="46"/>
      <c r="M24" s="46"/>
      <c r="N24" s="66"/>
      <c r="O24" s="46"/>
      <c r="P24" s="66"/>
      <c r="Q24" s="42"/>
    </row>
    <row r="25" spans="1:17" s="12" customFormat="1" ht="9" customHeight="1">
      <c r="A25" s="3" t="s">
        <v>11</v>
      </c>
      <c r="B25" s="66">
        <v>4810</v>
      </c>
      <c r="C25" s="66">
        <v>24820</v>
      </c>
      <c r="D25" s="2"/>
      <c r="E25" s="66">
        <v>1220</v>
      </c>
      <c r="F25" s="66">
        <v>2550</v>
      </c>
      <c r="G25" s="2"/>
      <c r="H25" s="2">
        <f t="shared" si="0"/>
        <v>6030</v>
      </c>
      <c r="I25" s="2">
        <f t="shared" si="1"/>
        <v>27370</v>
      </c>
      <c r="J25" s="46"/>
      <c r="K25" s="66"/>
      <c r="L25" s="66"/>
      <c r="M25" s="66"/>
      <c r="N25" s="66"/>
      <c r="O25" s="66"/>
      <c r="P25" s="66"/>
      <c r="Q25" s="42"/>
    </row>
    <row r="26" spans="1:17" s="12" customFormat="1" ht="9" customHeight="1">
      <c r="A26" s="3" t="s">
        <v>12</v>
      </c>
      <c r="B26" s="66">
        <v>4390</v>
      </c>
      <c r="C26" s="66">
        <v>18350</v>
      </c>
      <c r="D26" s="2"/>
      <c r="E26" s="46">
        <v>473</v>
      </c>
      <c r="F26" s="66">
        <v>1905</v>
      </c>
      <c r="G26" s="2"/>
      <c r="H26" s="2">
        <f t="shared" si="0"/>
        <v>4863</v>
      </c>
      <c r="I26" s="2">
        <f t="shared" si="1"/>
        <v>20255</v>
      </c>
      <c r="J26" s="46"/>
      <c r="K26" s="46"/>
      <c r="L26" s="46"/>
      <c r="M26" s="66"/>
      <c r="N26" s="66"/>
      <c r="O26" s="66"/>
      <c r="P26" s="66"/>
      <c r="Q26" s="42"/>
    </row>
    <row r="27" spans="1:17" s="12" customFormat="1" ht="9" customHeight="1">
      <c r="A27" s="3" t="s">
        <v>13</v>
      </c>
      <c r="B27" s="66">
        <v>6280</v>
      </c>
      <c r="C27" s="66">
        <v>27620</v>
      </c>
      <c r="D27" s="2"/>
      <c r="E27" s="66">
        <v>2900</v>
      </c>
      <c r="F27" s="66">
        <v>10460</v>
      </c>
      <c r="G27" s="2"/>
      <c r="H27" s="2">
        <f t="shared" si="0"/>
        <v>9180</v>
      </c>
      <c r="I27" s="2">
        <f t="shared" si="1"/>
        <v>38080</v>
      </c>
      <c r="J27" s="46"/>
      <c r="K27" s="66"/>
      <c r="L27" s="66"/>
      <c r="M27" s="66"/>
      <c r="N27" s="66"/>
      <c r="O27" s="66"/>
      <c r="P27" s="66"/>
      <c r="Q27" s="42"/>
    </row>
    <row r="28" spans="1:17" s="12" customFormat="1" ht="9" customHeight="1">
      <c r="A28" s="3" t="s">
        <v>14</v>
      </c>
      <c r="B28" s="80">
        <v>985</v>
      </c>
      <c r="C28" s="66">
        <v>4000</v>
      </c>
      <c r="D28" s="2"/>
      <c r="E28" s="46">
        <v>500</v>
      </c>
      <c r="F28" s="66">
        <v>1800</v>
      </c>
      <c r="G28" s="2"/>
      <c r="H28" s="2">
        <f t="shared" si="0"/>
        <v>1485</v>
      </c>
      <c r="I28" s="2">
        <f t="shared" si="1"/>
        <v>5800</v>
      </c>
      <c r="J28" s="46"/>
      <c r="K28" s="66"/>
      <c r="L28" s="66"/>
      <c r="M28" s="66"/>
      <c r="N28" s="66"/>
      <c r="O28" s="66"/>
      <c r="P28" s="66"/>
      <c r="Q28" s="42"/>
    </row>
    <row r="29" spans="1:17" s="12" customFormat="1" ht="9" customHeight="1">
      <c r="A29" s="7" t="s">
        <v>15</v>
      </c>
      <c r="B29" s="80">
        <f>SUM(B10:B28)-B13</f>
        <v>51993</v>
      </c>
      <c r="C29" s="80">
        <f aca="true" t="shared" si="2" ref="C29:I29">SUM(C10:C28)-C13</f>
        <v>218328</v>
      </c>
      <c r="D29" s="7"/>
      <c r="E29" s="80">
        <f t="shared" si="2"/>
        <v>21233</v>
      </c>
      <c r="F29" s="80">
        <f t="shared" si="2"/>
        <v>63092</v>
      </c>
      <c r="G29" s="7"/>
      <c r="H29" s="7">
        <f t="shared" si="2"/>
        <v>73226</v>
      </c>
      <c r="I29" s="7">
        <f t="shared" si="2"/>
        <v>281420</v>
      </c>
      <c r="J29" s="46"/>
      <c r="K29" s="46"/>
      <c r="L29" s="46"/>
      <c r="M29" s="46"/>
      <c r="N29" s="46"/>
      <c r="O29" s="46"/>
      <c r="P29" s="46"/>
      <c r="Q29" s="47"/>
    </row>
    <row r="30" spans="1:17" s="12" customFormat="1" ht="9" customHeight="1">
      <c r="A30" s="7" t="s">
        <v>54</v>
      </c>
      <c r="B30" s="80">
        <f>SUM(B10:B18)-B13</f>
        <v>9551</v>
      </c>
      <c r="C30" s="80">
        <f>SUM(C10:C18)-C13</f>
        <v>31956</v>
      </c>
      <c r="D30" s="7"/>
      <c r="E30" s="80">
        <f>SUM(E10:E18)-E13</f>
        <v>7820</v>
      </c>
      <c r="F30" s="80">
        <f>SUM(F10:F18)-F13</f>
        <v>19236</v>
      </c>
      <c r="G30" s="7"/>
      <c r="H30" s="7">
        <f>SUM(H10:H18)-H13</f>
        <v>17371</v>
      </c>
      <c r="I30" s="7">
        <f>SUM(I10:I18)-I13</f>
        <v>51192</v>
      </c>
      <c r="J30" s="46"/>
      <c r="K30" s="46"/>
      <c r="L30" s="66"/>
      <c r="M30" s="66"/>
      <c r="N30" s="66"/>
      <c r="O30" s="66"/>
      <c r="P30" s="66"/>
      <c r="Q30" s="47"/>
    </row>
    <row r="31" spans="1:17" s="12" customFormat="1" ht="9" customHeight="1">
      <c r="A31" s="7" t="s">
        <v>53</v>
      </c>
      <c r="B31" s="80">
        <f>SUM(B19:B22)</f>
        <v>13457</v>
      </c>
      <c r="C31" s="80">
        <f>SUM(C19:C22)</f>
        <v>48635</v>
      </c>
      <c r="D31" s="7"/>
      <c r="E31" s="80">
        <f>SUM(E19:E22)</f>
        <v>5410</v>
      </c>
      <c r="F31" s="80">
        <f>SUM(F19:F22)</f>
        <v>14553</v>
      </c>
      <c r="G31" s="7"/>
      <c r="H31" s="7">
        <f>SUM(H19:H22)</f>
        <v>18867</v>
      </c>
      <c r="I31" s="7">
        <f>SUM(I19:I22)</f>
        <v>63188</v>
      </c>
      <c r="J31" s="46"/>
      <c r="K31" s="46"/>
      <c r="L31" s="66"/>
      <c r="M31" s="66"/>
      <c r="N31" s="66"/>
      <c r="O31" s="66"/>
      <c r="P31" s="66"/>
      <c r="Q31" s="47"/>
    </row>
    <row r="32" spans="1:17" s="12" customFormat="1" ht="9" customHeight="1">
      <c r="A32" s="7" t="s">
        <v>39</v>
      </c>
      <c r="B32" s="80">
        <f>SUM(B23:B28)</f>
        <v>28985</v>
      </c>
      <c r="C32" s="80">
        <f>SUM(C23:C28)</f>
        <v>137737</v>
      </c>
      <c r="D32" s="7"/>
      <c r="E32" s="80">
        <f>SUM(E23:E28)</f>
        <v>8003</v>
      </c>
      <c r="F32" s="80">
        <f>SUM(F23:F28)</f>
        <v>29303</v>
      </c>
      <c r="G32" s="7"/>
      <c r="H32" s="7">
        <f>SUM(H23:H28)</f>
        <v>36988</v>
      </c>
      <c r="I32" s="7">
        <f>SUM(I23:I28)</f>
        <v>167040</v>
      </c>
      <c r="J32" s="46"/>
      <c r="K32" s="66"/>
      <c r="L32" s="66"/>
      <c r="M32" s="66"/>
      <c r="N32" s="66"/>
      <c r="O32" s="66"/>
      <c r="P32" s="66"/>
      <c r="Q32" s="47"/>
    </row>
    <row r="33" spans="1:17" s="12" customFormat="1" ht="9" customHeight="1">
      <c r="A33" s="7"/>
      <c r="B33" s="80"/>
      <c r="C33" s="80"/>
      <c r="D33" s="7"/>
      <c r="E33" s="80"/>
      <c r="F33" s="80"/>
      <c r="G33" s="7"/>
      <c r="H33" s="7"/>
      <c r="I33" s="7"/>
      <c r="J33" s="46"/>
      <c r="K33" s="66"/>
      <c r="L33" s="66"/>
      <c r="M33" s="66"/>
      <c r="N33" s="66"/>
      <c r="O33" s="66"/>
      <c r="P33" s="66"/>
      <c r="Q33" s="47"/>
    </row>
    <row r="34" spans="1:16" s="12" customFormat="1" ht="12" customHeight="1">
      <c r="A34" s="93" t="s">
        <v>58</v>
      </c>
      <c r="B34" s="93"/>
      <c r="C34" s="93"/>
      <c r="D34" s="93"/>
      <c r="E34" s="93"/>
      <c r="F34" s="93"/>
      <c r="G34" s="93"/>
      <c r="H34" s="93"/>
      <c r="I34" s="93"/>
      <c r="J34" s="46"/>
      <c r="K34" s="46"/>
      <c r="L34" s="46"/>
      <c r="M34" s="46"/>
      <c r="N34" s="46"/>
      <c r="O34" s="46"/>
      <c r="P34" s="46"/>
    </row>
    <row r="35" spans="1:16" s="12" customFormat="1" ht="9" customHeight="1">
      <c r="A35" s="49"/>
      <c r="B35" s="49"/>
      <c r="C35" s="49"/>
      <c r="D35" s="49"/>
      <c r="E35" s="49"/>
      <c r="F35" s="49"/>
      <c r="G35" s="49"/>
      <c r="H35" s="49"/>
      <c r="I35" s="49"/>
      <c r="J35" s="46"/>
      <c r="K35" s="46"/>
      <c r="L35" s="46"/>
      <c r="M35" s="46"/>
      <c r="N35" s="46"/>
      <c r="O35" s="46"/>
      <c r="P35" s="46"/>
    </row>
    <row r="36" spans="10:16" s="12" customFormat="1" ht="9" customHeight="1">
      <c r="J36" s="46"/>
      <c r="K36" s="46"/>
      <c r="L36" s="46"/>
      <c r="M36" s="46"/>
      <c r="N36" s="46"/>
      <c r="O36" s="46"/>
      <c r="P36" s="46"/>
    </row>
    <row r="37" spans="1:16" s="12" customFormat="1" ht="9" customHeight="1">
      <c r="A37" s="3" t="s">
        <v>2</v>
      </c>
      <c r="B37" s="46">
        <v>788</v>
      </c>
      <c r="C37" s="66">
        <v>1484</v>
      </c>
      <c r="D37" s="2"/>
      <c r="E37" s="66">
        <v>2540</v>
      </c>
      <c r="F37" s="66">
        <v>3580</v>
      </c>
      <c r="G37" s="2"/>
      <c r="H37" s="3">
        <f>+B37+E37</f>
        <v>3328</v>
      </c>
      <c r="I37" s="3">
        <f>+C37+F37</f>
        <v>5064</v>
      </c>
      <c r="J37" s="46"/>
      <c r="K37" s="46"/>
      <c r="L37" s="46"/>
      <c r="M37" s="46"/>
      <c r="N37" s="46"/>
      <c r="O37" s="46"/>
      <c r="P37" s="46"/>
    </row>
    <row r="38" spans="1:16" s="12" customFormat="1" ht="9" customHeight="1">
      <c r="A38" s="3" t="s">
        <v>46</v>
      </c>
      <c r="B38" s="46">
        <v>180</v>
      </c>
      <c r="C38" s="46">
        <v>700</v>
      </c>
      <c r="D38" s="2"/>
      <c r="E38" s="69">
        <v>0</v>
      </c>
      <c r="F38" s="69">
        <v>0</v>
      </c>
      <c r="G38" s="2"/>
      <c r="H38" s="3">
        <f aca="true" t="shared" si="3" ref="H38:H55">+B38+E38</f>
        <v>180</v>
      </c>
      <c r="I38" s="3">
        <f aca="true" t="shared" si="4" ref="I38:I55">+C38+F38</f>
        <v>700</v>
      </c>
      <c r="J38" s="46"/>
      <c r="K38" s="46"/>
      <c r="L38" s="46"/>
      <c r="M38" s="46"/>
      <c r="N38" s="46"/>
      <c r="O38" s="46"/>
      <c r="P38" s="46"/>
    </row>
    <row r="39" spans="1:16" s="12" customFormat="1" ht="9" customHeight="1">
      <c r="A39" s="3" t="s">
        <v>3</v>
      </c>
      <c r="B39" s="66">
        <v>4805</v>
      </c>
      <c r="C39" s="66">
        <v>11409</v>
      </c>
      <c r="D39" s="2"/>
      <c r="E39" s="66">
        <v>1590</v>
      </c>
      <c r="F39" s="66">
        <v>4051</v>
      </c>
      <c r="G39" s="2"/>
      <c r="H39" s="3">
        <f t="shared" si="3"/>
        <v>6395</v>
      </c>
      <c r="I39" s="3">
        <f t="shared" si="4"/>
        <v>15460</v>
      </c>
      <c r="J39" s="46"/>
      <c r="K39" s="46"/>
      <c r="L39" s="46"/>
      <c r="M39" s="46"/>
      <c r="N39" s="46"/>
      <c r="O39" s="46"/>
      <c r="P39" s="46"/>
    </row>
    <row r="40" spans="1:16" s="12" customFormat="1" ht="9" customHeight="1">
      <c r="A40" s="3" t="s">
        <v>38</v>
      </c>
      <c r="B40" s="2">
        <f>SUM(B41)</f>
        <v>10</v>
      </c>
      <c r="C40" s="2">
        <f>SUM(C41)</f>
        <v>5</v>
      </c>
      <c r="D40" s="2"/>
      <c r="E40" s="2">
        <f>SUM(E41)</f>
        <v>20</v>
      </c>
      <c r="F40" s="2">
        <f>SUM(F41)</f>
        <v>10</v>
      </c>
      <c r="G40" s="2"/>
      <c r="H40" s="3">
        <f t="shared" si="3"/>
        <v>30</v>
      </c>
      <c r="I40" s="3">
        <f t="shared" si="4"/>
        <v>15</v>
      </c>
      <c r="J40" s="46"/>
      <c r="K40" s="46"/>
      <c r="L40" s="66"/>
      <c r="M40" s="66"/>
      <c r="N40" s="66"/>
      <c r="O40" s="66"/>
      <c r="P40" s="66"/>
    </row>
    <row r="41" spans="1:16" s="12" customFormat="1" ht="9" customHeight="1">
      <c r="A41" s="10" t="s">
        <v>19</v>
      </c>
      <c r="B41" s="11">
        <v>10</v>
      </c>
      <c r="C41" s="11">
        <v>5</v>
      </c>
      <c r="D41" s="11"/>
      <c r="E41" s="11">
        <v>20</v>
      </c>
      <c r="F41" s="11">
        <v>10</v>
      </c>
      <c r="G41" s="11"/>
      <c r="H41" s="10">
        <f t="shared" si="3"/>
        <v>30</v>
      </c>
      <c r="I41" s="10">
        <f t="shared" si="4"/>
        <v>15</v>
      </c>
      <c r="J41" s="46"/>
      <c r="K41" s="46"/>
      <c r="L41" s="46"/>
      <c r="M41" s="46"/>
      <c r="N41" s="46"/>
      <c r="O41" s="46"/>
      <c r="P41" s="46"/>
    </row>
    <row r="42" spans="1:16" s="12" customFormat="1" ht="9" customHeight="1">
      <c r="A42" s="3" t="s">
        <v>17</v>
      </c>
      <c r="B42" s="66">
        <v>2870</v>
      </c>
      <c r="C42" s="66">
        <v>8672</v>
      </c>
      <c r="D42" s="2"/>
      <c r="E42" s="66">
        <v>3070</v>
      </c>
      <c r="F42" s="66">
        <v>5778</v>
      </c>
      <c r="G42" s="2"/>
      <c r="H42" s="3">
        <f t="shared" si="3"/>
        <v>5940</v>
      </c>
      <c r="I42" s="3">
        <f t="shared" si="4"/>
        <v>14450</v>
      </c>
      <c r="J42" s="46"/>
      <c r="K42" s="66"/>
      <c r="L42" s="66"/>
      <c r="M42" s="66"/>
      <c r="N42" s="66"/>
      <c r="O42" s="66"/>
      <c r="P42" s="66"/>
    </row>
    <row r="43" spans="1:16" s="12" customFormat="1" ht="9" customHeight="1">
      <c r="A43" s="3" t="s">
        <v>40</v>
      </c>
      <c r="B43" s="46">
        <v>270</v>
      </c>
      <c r="C43" s="46">
        <v>593</v>
      </c>
      <c r="D43" s="2"/>
      <c r="E43" s="46">
        <v>220</v>
      </c>
      <c r="F43" s="46">
        <v>778</v>
      </c>
      <c r="G43" s="2"/>
      <c r="H43" s="3">
        <f t="shared" si="3"/>
        <v>490</v>
      </c>
      <c r="I43" s="3">
        <f t="shared" si="4"/>
        <v>1371</v>
      </c>
      <c r="J43" s="46"/>
      <c r="K43" s="46"/>
      <c r="L43" s="46"/>
      <c r="M43" s="46"/>
      <c r="N43" s="46"/>
      <c r="O43" s="46"/>
      <c r="P43" s="46"/>
    </row>
    <row r="44" spans="1:16" s="12" customFormat="1" ht="9" customHeight="1">
      <c r="A44" s="3" t="s">
        <v>4</v>
      </c>
      <c r="B44" s="46">
        <v>260</v>
      </c>
      <c r="C44" s="46">
        <v>972</v>
      </c>
      <c r="D44" s="2"/>
      <c r="E44" s="66">
        <v>1710</v>
      </c>
      <c r="F44" s="66">
        <v>6330</v>
      </c>
      <c r="G44" s="2"/>
      <c r="H44" s="3">
        <f t="shared" si="3"/>
        <v>1970</v>
      </c>
      <c r="I44" s="3">
        <f t="shared" si="4"/>
        <v>7302</v>
      </c>
      <c r="J44" s="46"/>
      <c r="K44" s="46"/>
      <c r="L44" s="46"/>
      <c r="M44" s="46"/>
      <c r="N44" s="46"/>
      <c r="O44" s="46"/>
      <c r="P44" s="46"/>
    </row>
    <row r="45" spans="1:16" s="12" customFormat="1" ht="9" customHeight="1">
      <c r="A45" s="3" t="s">
        <v>20</v>
      </c>
      <c r="B45" s="66">
        <v>2041</v>
      </c>
      <c r="C45" s="66">
        <v>9201</v>
      </c>
      <c r="D45" s="2"/>
      <c r="E45" s="46">
        <v>150</v>
      </c>
      <c r="F45" s="46">
        <v>475</v>
      </c>
      <c r="G45" s="2"/>
      <c r="H45" s="3">
        <f t="shared" si="3"/>
        <v>2191</v>
      </c>
      <c r="I45" s="3">
        <f t="shared" si="4"/>
        <v>9676</v>
      </c>
      <c r="J45" s="46"/>
      <c r="K45" s="66"/>
      <c r="L45" s="66"/>
      <c r="M45" s="66"/>
      <c r="N45" s="66"/>
      <c r="O45" s="66"/>
      <c r="P45" s="66"/>
    </row>
    <row r="46" spans="1:16" s="12" customFormat="1" ht="9" customHeight="1">
      <c r="A46" s="3" t="s">
        <v>5</v>
      </c>
      <c r="B46" s="66">
        <v>2897</v>
      </c>
      <c r="C46" s="66">
        <v>5244</v>
      </c>
      <c r="D46" s="2"/>
      <c r="E46" s="46">
        <v>970</v>
      </c>
      <c r="F46" s="66">
        <v>2195</v>
      </c>
      <c r="G46" s="2"/>
      <c r="H46" s="3">
        <f t="shared" si="3"/>
        <v>3867</v>
      </c>
      <c r="I46" s="3">
        <f t="shared" si="4"/>
        <v>7439</v>
      </c>
      <c r="J46" s="46"/>
      <c r="K46" s="46"/>
      <c r="L46" s="46"/>
      <c r="M46" s="46"/>
      <c r="N46" s="46"/>
      <c r="O46" s="46"/>
      <c r="P46" s="66"/>
    </row>
    <row r="47" spans="1:16" s="12" customFormat="1" ht="9" customHeight="1">
      <c r="A47" s="3" t="s">
        <v>6</v>
      </c>
      <c r="B47" s="69">
        <v>0</v>
      </c>
      <c r="C47" s="69">
        <v>0</v>
      </c>
      <c r="D47" s="2"/>
      <c r="E47" s="46">
        <v>50</v>
      </c>
      <c r="F47" s="46">
        <v>159</v>
      </c>
      <c r="G47" s="2"/>
      <c r="H47" s="3">
        <f t="shared" si="3"/>
        <v>50</v>
      </c>
      <c r="I47" s="3">
        <f t="shared" si="4"/>
        <v>159</v>
      </c>
      <c r="J47" s="46"/>
      <c r="K47" s="46"/>
      <c r="L47" s="46"/>
      <c r="M47" s="66"/>
      <c r="N47" s="66"/>
      <c r="O47" s="66"/>
      <c r="P47" s="66"/>
    </row>
    <row r="48" spans="1:16" s="12" customFormat="1" ht="9" customHeight="1">
      <c r="A48" s="3" t="s">
        <v>7</v>
      </c>
      <c r="B48" s="46">
        <v>179</v>
      </c>
      <c r="C48" s="46">
        <v>535</v>
      </c>
      <c r="D48" s="2"/>
      <c r="E48" s="46">
        <v>359</v>
      </c>
      <c r="F48" s="66">
        <v>1590</v>
      </c>
      <c r="G48" s="2"/>
      <c r="H48" s="3">
        <f t="shared" si="3"/>
        <v>538</v>
      </c>
      <c r="I48" s="3">
        <f t="shared" si="4"/>
        <v>2125</v>
      </c>
      <c r="J48" s="46"/>
      <c r="K48" s="66"/>
      <c r="L48" s="66"/>
      <c r="M48" s="46"/>
      <c r="N48" s="46"/>
      <c r="O48" s="66"/>
      <c r="P48" s="66"/>
    </row>
    <row r="49" spans="1:16" s="12" customFormat="1" ht="9" customHeight="1">
      <c r="A49" s="3" t="s">
        <v>8</v>
      </c>
      <c r="B49" s="66">
        <v>3920</v>
      </c>
      <c r="C49" s="66">
        <v>16720</v>
      </c>
      <c r="D49" s="2"/>
      <c r="E49" s="66">
        <v>1170</v>
      </c>
      <c r="F49" s="66">
        <v>4128</v>
      </c>
      <c r="G49" s="2"/>
      <c r="H49" s="3">
        <f t="shared" si="3"/>
        <v>5090</v>
      </c>
      <c r="I49" s="3">
        <f t="shared" si="4"/>
        <v>20848</v>
      </c>
      <c r="J49" s="46"/>
      <c r="K49" s="66"/>
      <c r="L49" s="66"/>
      <c r="M49" s="46"/>
      <c r="N49" s="66"/>
      <c r="O49" s="66"/>
      <c r="P49" s="66"/>
    </row>
    <row r="50" spans="1:16" s="12" customFormat="1" ht="9" customHeight="1">
      <c r="A50" s="3" t="s">
        <v>9</v>
      </c>
      <c r="B50" s="46">
        <v>200</v>
      </c>
      <c r="C50" s="46">
        <v>190</v>
      </c>
      <c r="D50" s="2"/>
      <c r="E50" s="66">
        <v>3130</v>
      </c>
      <c r="F50" s="66">
        <v>3482</v>
      </c>
      <c r="G50" s="2"/>
      <c r="H50" s="3">
        <f t="shared" si="3"/>
        <v>3330</v>
      </c>
      <c r="I50" s="3">
        <f t="shared" si="4"/>
        <v>3672</v>
      </c>
      <c r="J50" s="46"/>
      <c r="K50" s="46"/>
      <c r="L50" s="46"/>
      <c r="M50" s="46"/>
      <c r="N50" s="46"/>
      <c r="O50" s="46"/>
      <c r="P50" s="46"/>
    </row>
    <row r="51" spans="1:16" s="12" customFormat="1" ht="9" customHeight="1">
      <c r="A51" s="3" t="s">
        <v>10</v>
      </c>
      <c r="B51" s="66">
        <v>3080</v>
      </c>
      <c r="C51" s="66">
        <v>11800</v>
      </c>
      <c r="D51" s="2"/>
      <c r="E51" s="66">
        <v>4500</v>
      </c>
      <c r="F51" s="66">
        <v>14532</v>
      </c>
      <c r="G51" s="2"/>
      <c r="H51" s="3">
        <f t="shared" si="3"/>
        <v>7580</v>
      </c>
      <c r="I51" s="3">
        <f t="shared" si="4"/>
        <v>26332</v>
      </c>
      <c r="J51" s="46"/>
      <c r="K51" s="46"/>
      <c r="L51" s="46"/>
      <c r="M51" s="46"/>
      <c r="N51" s="66"/>
      <c r="O51" s="46"/>
      <c r="P51" s="66"/>
    </row>
    <row r="52" spans="1:16" s="12" customFormat="1" ht="9" customHeight="1">
      <c r="A52" s="3" t="s">
        <v>11</v>
      </c>
      <c r="B52" s="66">
        <v>6690</v>
      </c>
      <c r="C52" s="66">
        <v>16520</v>
      </c>
      <c r="D52" s="2"/>
      <c r="E52" s="66">
        <v>2020</v>
      </c>
      <c r="F52" s="66">
        <v>4240</v>
      </c>
      <c r="G52" s="2"/>
      <c r="H52" s="3">
        <f t="shared" si="3"/>
        <v>8710</v>
      </c>
      <c r="I52" s="3">
        <f t="shared" si="4"/>
        <v>20760</v>
      </c>
      <c r="J52" s="46"/>
      <c r="K52" s="66"/>
      <c r="L52" s="66"/>
      <c r="M52" s="66"/>
      <c r="N52" s="66"/>
      <c r="O52" s="66"/>
      <c r="P52" s="66"/>
    </row>
    <row r="53" spans="1:16" s="12" customFormat="1" ht="9" customHeight="1">
      <c r="A53" s="3" t="s">
        <v>12</v>
      </c>
      <c r="B53" s="46">
        <v>20</v>
      </c>
      <c r="C53" s="46">
        <v>60</v>
      </c>
      <c r="D53" s="2"/>
      <c r="E53" s="46">
        <v>50</v>
      </c>
      <c r="F53" s="46">
        <v>150</v>
      </c>
      <c r="G53" s="2"/>
      <c r="H53" s="3">
        <f t="shared" si="3"/>
        <v>70</v>
      </c>
      <c r="I53" s="3">
        <f t="shared" si="4"/>
        <v>210</v>
      </c>
      <c r="J53" s="46"/>
      <c r="K53" s="46"/>
      <c r="L53" s="46"/>
      <c r="M53" s="66"/>
      <c r="N53" s="66"/>
      <c r="O53" s="66"/>
      <c r="P53" s="66"/>
    </row>
    <row r="54" spans="1:16" s="12" customFormat="1" ht="9" customHeight="1">
      <c r="A54" s="3" t="s">
        <v>13</v>
      </c>
      <c r="B54" s="46">
        <v>800</v>
      </c>
      <c r="C54" s="66">
        <v>4200</v>
      </c>
      <c r="D54" s="2"/>
      <c r="E54" s="66">
        <v>2430</v>
      </c>
      <c r="F54" s="66">
        <v>9900</v>
      </c>
      <c r="G54" s="2"/>
      <c r="H54" s="3">
        <f t="shared" si="3"/>
        <v>3230</v>
      </c>
      <c r="I54" s="3">
        <f t="shared" si="4"/>
        <v>14100</v>
      </c>
      <c r="J54" s="46"/>
      <c r="K54" s="66"/>
      <c r="L54" s="66"/>
      <c r="M54" s="66"/>
      <c r="N54" s="66"/>
      <c r="O54" s="66"/>
      <c r="P54" s="66"/>
    </row>
    <row r="55" spans="1:16" s="12" customFormat="1" ht="9" customHeight="1">
      <c r="A55" s="3" t="s">
        <v>14</v>
      </c>
      <c r="B55" s="46">
        <v>395</v>
      </c>
      <c r="C55" s="66">
        <v>1520</v>
      </c>
      <c r="D55" s="2"/>
      <c r="E55" s="66">
        <v>1500</v>
      </c>
      <c r="F55" s="66">
        <v>4500</v>
      </c>
      <c r="G55" s="2"/>
      <c r="H55" s="3">
        <f t="shared" si="3"/>
        <v>1895</v>
      </c>
      <c r="I55" s="3">
        <f t="shared" si="4"/>
        <v>6020</v>
      </c>
      <c r="J55" s="46"/>
      <c r="K55" s="66"/>
      <c r="L55" s="66"/>
      <c r="M55" s="66"/>
      <c r="N55" s="66"/>
      <c r="O55" s="66"/>
      <c r="P55" s="66"/>
    </row>
    <row r="56" spans="1:16" s="12" customFormat="1" ht="9" customHeight="1">
      <c r="A56" s="7" t="s">
        <v>15</v>
      </c>
      <c r="B56" s="80">
        <f>SUM(B37:B55)-B40</f>
        <v>29405</v>
      </c>
      <c r="C56" s="80">
        <f>SUM(C37:C55)-C40</f>
        <v>89825</v>
      </c>
      <c r="D56" s="29"/>
      <c r="E56" s="80">
        <f>SUM(E37:E55)-E40</f>
        <v>25479</v>
      </c>
      <c r="F56" s="80">
        <f>SUM(F37:F55)-F40</f>
        <v>65878</v>
      </c>
      <c r="G56" s="29"/>
      <c r="H56" s="7">
        <f>SUM(H37:H55)-H40</f>
        <v>54884</v>
      </c>
      <c r="I56" s="7">
        <f>SUM(I37:I55)-I40</f>
        <v>155703</v>
      </c>
      <c r="J56" s="46"/>
      <c r="K56" s="46"/>
      <c r="L56" s="46"/>
      <c r="M56" s="46"/>
      <c r="N56" s="46"/>
      <c r="O56" s="46"/>
      <c r="P56" s="46"/>
    </row>
    <row r="57" spans="1:16" s="10" customFormat="1" ht="9" customHeight="1">
      <c r="A57" s="7" t="s">
        <v>54</v>
      </c>
      <c r="B57" s="80">
        <f>SUM(B37:B45)-B40</f>
        <v>11224</v>
      </c>
      <c r="C57" s="80">
        <f>SUM(C37:C45)-C40</f>
        <v>33036</v>
      </c>
      <c r="D57" s="7"/>
      <c r="E57" s="80">
        <f>SUM(E37:E45)-E40</f>
        <v>9300</v>
      </c>
      <c r="F57" s="80">
        <f>SUM(F37:F45)-F40</f>
        <v>21002</v>
      </c>
      <c r="G57" s="7"/>
      <c r="H57" s="7">
        <f>SUM(H37:H45)-H40</f>
        <v>20524</v>
      </c>
      <c r="I57" s="7">
        <f>SUM(I37:I45)-I40</f>
        <v>54038</v>
      </c>
      <c r="J57" s="46"/>
      <c r="K57" s="46"/>
      <c r="L57" s="66"/>
      <c r="M57" s="66"/>
      <c r="N57" s="66"/>
      <c r="O57" s="66"/>
      <c r="P57" s="66"/>
    </row>
    <row r="58" spans="1:16" s="10" customFormat="1" ht="9" customHeight="1">
      <c r="A58" s="7" t="s">
        <v>53</v>
      </c>
      <c r="B58" s="80">
        <f>SUM(B46:B49)</f>
        <v>6996</v>
      </c>
      <c r="C58" s="80">
        <f>SUM(C46:C49)</f>
        <v>22499</v>
      </c>
      <c r="D58" s="7"/>
      <c r="E58" s="80">
        <f>SUM(E46:E49)</f>
        <v>2549</v>
      </c>
      <c r="F58" s="80">
        <f>SUM(F46:F49)</f>
        <v>8072</v>
      </c>
      <c r="G58" s="7"/>
      <c r="H58" s="7">
        <f>SUM(H46:H49)</f>
        <v>9545</v>
      </c>
      <c r="I58" s="7">
        <f>SUM(I46:I49)</f>
        <v>30571</v>
      </c>
      <c r="J58" s="46"/>
      <c r="K58" s="46"/>
      <c r="L58" s="66"/>
      <c r="M58" s="66"/>
      <c r="N58" s="66"/>
      <c r="O58" s="66"/>
      <c r="P58" s="66"/>
    </row>
    <row r="59" spans="1:16" ht="9" customHeight="1">
      <c r="A59" s="7" t="s">
        <v>39</v>
      </c>
      <c r="B59" s="80">
        <f>SUM(B50:B55)</f>
        <v>11185</v>
      </c>
      <c r="C59" s="80">
        <f>SUM(C50:C55)</f>
        <v>34290</v>
      </c>
      <c r="D59" s="9"/>
      <c r="E59" s="80">
        <f>SUM(E50:E55)</f>
        <v>13630</v>
      </c>
      <c r="F59" s="80">
        <f>SUM(F50:F55)</f>
        <v>36804</v>
      </c>
      <c r="G59" s="9"/>
      <c r="H59" s="7">
        <f>SUM(H50:H55)</f>
        <v>24815</v>
      </c>
      <c r="I59" s="7">
        <f>SUM(I50:I55)</f>
        <v>71094</v>
      </c>
      <c r="J59" s="46"/>
      <c r="K59" s="66"/>
      <c r="L59" s="66"/>
      <c r="M59" s="66"/>
      <c r="N59" s="66"/>
      <c r="O59" s="66"/>
      <c r="P59" s="66"/>
    </row>
    <row r="60" spans="1:16" ht="9" customHeight="1">
      <c r="A60" s="19"/>
      <c r="B60" s="31"/>
      <c r="C60" s="31"/>
      <c r="D60" s="31"/>
      <c r="E60" s="31"/>
      <c r="F60" s="31"/>
      <c r="G60" s="31"/>
      <c r="H60" s="31"/>
      <c r="I60" s="31"/>
      <c r="J60" s="46"/>
      <c r="K60" s="46"/>
      <c r="L60" s="46"/>
      <c r="M60" s="46"/>
      <c r="N60" s="46"/>
      <c r="O60" s="46"/>
      <c r="P60" s="46"/>
    </row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</sheetData>
  <mergeCells count="6">
    <mergeCell ref="A34:I34"/>
    <mergeCell ref="A5:A6"/>
    <mergeCell ref="H5:I5"/>
    <mergeCell ref="B5:C5"/>
    <mergeCell ref="E5:F5"/>
    <mergeCell ref="A8:I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2005-07-22T07:49:13Z</cp:lastPrinted>
  <dcterms:created xsi:type="dcterms:W3CDTF">1999-04-22T09:13:38Z</dcterms:created>
  <dcterms:modified xsi:type="dcterms:W3CDTF">2004-04-02T08:25:04Z</dcterms:modified>
  <cp:category/>
  <cp:version/>
  <cp:contentType/>
  <cp:contentStatus/>
</cp:coreProperties>
</file>